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67" i="1" l="1"/>
  <c r="F471" i="1"/>
  <c r="J468" i="1"/>
  <c r="F472" i="1"/>
  <c r="C39" i="12" l="1"/>
  <c r="B39" i="12"/>
  <c r="C19" i="12"/>
  <c r="C10" i="12"/>
  <c r="B10" i="12"/>
  <c r="F464" i="1" l="1"/>
  <c r="G562" i="1" l="1"/>
  <c r="G561" i="1"/>
  <c r="K531" i="1"/>
  <c r="J531" i="1"/>
  <c r="G318" i="1" l="1"/>
  <c r="F318" i="1"/>
  <c r="G313" i="1"/>
  <c r="F313" i="1"/>
  <c r="F301" i="1"/>
  <c r="I299" i="1"/>
  <c r="G299" i="1"/>
  <c r="F299" i="1"/>
  <c r="J294" i="1"/>
  <c r="I294" i="1"/>
  <c r="H294" i="1"/>
  <c r="G294" i="1"/>
  <c r="F294" i="1"/>
  <c r="H275" i="1"/>
  <c r="G280" i="1"/>
  <c r="F280" i="1"/>
  <c r="K275" i="1"/>
  <c r="J275" i="1"/>
  <c r="I275" i="1"/>
  <c r="G275" i="1"/>
  <c r="F275" i="1"/>
  <c r="G96" i="1" l="1"/>
  <c r="H244" i="1"/>
  <c r="H226" i="1"/>
  <c r="H208" i="1"/>
  <c r="I242" i="1"/>
  <c r="I224" i="1"/>
  <c r="I206" i="1"/>
  <c r="K239" i="1"/>
  <c r="I239" i="1"/>
  <c r="H239" i="1"/>
  <c r="G239" i="1"/>
  <c r="F239" i="1"/>
  <c r="K221" i="1"/>
  <c r="I221" i="1"/>
  <c r="H221" i="1"/>
  <c r="G221" i="1"/>
  <c r="F221" i="1"/>
  <c r="K203" i="1"/>
  <c r="I203" i="1"/>
  <c r="H203" i="1"/>
  <c r="G203" i="1"/>
  <c r="F203" i="1"/>
  <c r="G237" i="1"/>
  <c r="F237" i="1"/>
  <c r="G219" i="1"/>
  <c r="F219" i="1"/>
  <c r="G201" i="1"/>
  <c r="F201" i="1"/>
  <c r="F501" i="1" l="1"/>
  <c r="F498" i="1"/>
  <c r="F497" i="1"/>
  <c r="F494" i="1"/>
  <c r="F102" i="1" l="1"/>
  <c r="C37" i="10" l="1"/>
  <c r="F40" i="2" l="1"/>
  <c r="D39" i="2"/>
  <c r="D49" i="2" s="1"/>
  <c r="G654" i="1"/>
  <c r="F47" i="2"/>
  <c r="F49" i="2" s="1"/>
  <c r="F50" i="2" s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C13" i="10" s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D7" i="13" s="1"/>
  <c r="C7" i="13" s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H661" i="1" s="1"/>
  <c r="F17" i="13"/>
  <c r="G17" i="13"/>
  <c r="L250" i="1"/>
  <c r="F18" i="13"/>
  <c r="G18" i="13"/>
  <c r="L251" i="1"/>
  <c r="D18" i="13" s="1"/>
  <c r="C18" i="13" s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E119" i="2" s="1"/>
  <c r="L283" i="1"/>
  <c r="L284" i="1"/>
  <c r="L285" i="1"/>
  <c r="L286" i="1"/>
  <c r="L287" i="1"/>
  <c r="L294" i="1"/>
  <c r="L295" i="1"/>
  <c r="E109" i="2" s="1"/>
  <c r="L296" i="1"/>
  <c r="L297" i="1"/>
  <c r="L299" i="1"/>
  <c r="L300" i="1"/>
  <c r="L301" i="1"/>
  <c r="L302" i="1"/>
  <c r="L303" i="1"/>
  <c r="L304" i="1"/>
  <c r="L305" i="1"/>
  <c r="E123" i="2" s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C25" i="10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9" i="12"/>
  <c r="B13" i="12"/>
  <c r="C9" i="12"/>
  <c r="C13" i="12"/>
  <c r="B18" i="12"/>
  <c r="B22" i="12"/>
  <c r="B31" i="12" s="1"/>
  <c r="C18" i="12"/>
  <c r="C22" i="12"/>
  <c r="C31" i="12" s="1"/>
  <c r="B1" i="12"/>
  <c r="L386" i="1"/>
  <c r="L387" i="1"/>
  <c r="L388" i="1"/>
  <c r="L389" i="1"/>
  <c r="L390" i="1"/>
  <c r="L391" i="1"/>
  <c r="L392" i="1" s="1"/>
  <c r="C137" i="2" s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H111" i="1" s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F168" i="1" s="1"/>
  <c r="G146" i="1"/>
  <c r="G161" i="1"/>
  <c r="H146" i="1"/>
  <c r="H161" i="1"/>
  <c r="H168" i="1" s="1"/>
  <c r="I146" i="1"/>
  <c r="I161" i="1"/>
  <c r="L249" i="1"/>
  <c r="L331" i="1"/>
  <c r="C23" i="10" s="1"/>
  <c r="L253" i="1"/>
  <c r="L267" i="1"/>
  <c r="L268" i="1"/>
  <c r="L348" i="1"/>
  <c r="L349" i="1"/>
  <c r="I664" i="1"/>
  <c r="I669" i="1"/>
  <c r="I668" i="1"/>
  <c r="C42" i="10"/>
  <c r="C32" i="10"/>
  <c r="L373" i="1"/>
  <c r="L374" i="1"/>
  <c r="L375" i="1"/>
  <c r="L376" i="1"/>
  <c r="L377" i="1"/>
  <c r="C29" i="10" s="1"/>
  <c r="L378" i="1"/>
  <c r="L379" i="1"/>
  <c r="B2" i="10"/>
  <c r="L343" i="1"/>
  <c r="L344" i="1"/>
  <c r="L345" i="1"/>
  <c r="L346" i="1"/>
  <c r="L350" i="1" s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D8" i="2"/>
  <c r="E8" i="2"/>
  <c r="E18" i="2" s="1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C18" i="2" s="1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F61" i="2" s="1"/>
  <c r="F62" i="2" s="1"/>
  <c r="D59" i="2"/>
  <c r="D61" i="2" s="1"/>
  <c r="D62" i="2" s="1"/>
  <c r="C60" i="2"/>
  <c r="D60" i="2"/>
  <c r="E60" i="2"/>
  <c r="F60" i="2"/>
  <c r="C65" i="2"/>
  <c r="C69" i="2" s="1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F102" i="2" s="1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E111" i="2"/>
  <c r="C112" i="2"/>
  <c r="E112" i="2"/>
  <c r="E113" i="2"/>
  <c r="D114" i="2"/>
  <c r="F114" i="2"/>
  <c r="G114" i="2"/>
  <c r="C118" i="2"/>
  <c r="E120" i="2"/>
  <c r="E121" i="2"/>
  <c r="E122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G159" i="2" s="1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G162" i="2" s="1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G621" i="1" s="1"/>
  <c r="G50" i="1"/>
  <c r="G622" i="1" s="1"/>
  <c r="H50" i="1"/>
  <c r="I50" i="1"/>
  <c r="F176" i="1"/>
  <c r="F191" i="1" s="1"/>
  <c r="I176" i="1"/>
  <c r="F182" i="1"/>
  <c r="G182" i="1"/>
  <c r="G191" i="1" s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F361" i="1"/>
  <c r="G361" i="1"/>
  <c r="H361" i="1"/>
  <c r="I361" i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H407" i="1" s="1"/>
  <c r="H643" i="1" s="1"/>
  <c r="J643" i="1" s="1"/>
  <c r="I392" i="1"/>
  <c r="F400" i="1"/>
  <c r="G400" i="1"/>
  <c r="H400" i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F451" i="1"/>
  <c r="G451" i="1"/>
  <c r="H451" i="1"/>
  <c r="F459" i="1"/>
  <c r="F460" i="1" s="1"/>
  <c r="H638" i="1" s="1"/>
  <c r="G459" i="1"/>
  <c r="H459" i="1"/>
  <c r="I459" i="1"/>
  <c r="G460" i="1"/>
  <c r="H639" i="1" s="1"/>
  <c r="J639" i="1" s="1"/>
  <c r="H460" i="1"/>
  <c r="F469" i="1"/>
  <c r="G469" i="1"/>
  <c r="H469" i="1"/>
  <c r="I469" i="1"/>
  <c r="J469" i="1"/>
  <c r="F473" i="1"/>
  <c r="F475" i="1" s="1"/>
  <c r="H621" i="1" s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J544" i="1" s="1"/>
  <c r="K523" i="1"/>
  <c r="K544" i="1" s="1"/>
  <c r="L523" i="1"/>
  <c r="F528" i="1"/>
  <c r="G528" i="1"/>
  <c r="H528" i="1"/>
  <c r="I528" i="1"/>
  <c r="J528" i="1"/>
  <c r="K528" i="1"/>
  <c r="F533" i="1"/>
  <c r="G533" i="1"/>
  <c r="G544" i="1" s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F570" i="1" s="1"/>
  <c r="G564" i="1"/>
  <c r="H564" i="1"/>
  <c r="I564" i="1"/>
  <c r="J564" i="1"/>
  <c r="K564" i="1"/>
  <c r="L566" i="1"/>
  <c r="L567" i="1"/>
  <c r="L569" i="1" s="1"/>
  <c r="L568" i="1"/>
  <c r="F569" i="1"/>
  <c r="G569" i="1"/>
  <c r="H569" i="1"/>
  <c r="H570" i="1" s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9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9" i="1"/>
  <c r="G640" i="1"/>
  <c r="H640" i="1"/>
  <c r="J640" i="1" s="1"/>
  <c r="G642" i="1"/>
  <c r="H642" i="1"/>
  <c r="G643" i="1"/>
  <c r="G649" i="1"/>
  <c r="G651" i="1"/>
  <c r="H651" i="1"/>
  <c r="G652" i="1"/>
  <c r="H652" i="1"/>
  <c r="G653" i="1"/>
  <c r="H653" i="1"/>
  <c r="H654" i="1"/>
  <c r="L255" i="1"/>
  <c r="F31" i="2"/>
  <c r="C26" i="10"/>
  <c r="G161" i="2"/>
  <c r="E49" i="2"/>
  <c r="G158" i="2"/>
  <c r="G80" i="2"/>
  <c r="F77" i="2"/>
  <c r="F80" i="2" s="1"/>
  <c r="G156" i="2"/>
  <c r="F18" i="2"/>
  <c r="G160" i="2"/>
  <c r="G157" i="2"/>
  <c r="E143" i="2"/>
  <c r="E102" i="2"/>
  <c r="C102" i="2"/>
  <c r="F90" i="2"/>
  <c r="G61" i="2"/>
  <c r="D19" i="13"/>
  <c r="C19" i="13" s="1"/>
  <c r="E77" i="2"/>
  <c r="E80" i="2" s="1"/>
  <c r="L426" i="1"/>
  <c r="K604" i="1"/>
  <c r="G647" i="1" s="1"/>
  <c r="J570" i="1"/>
  <c r="K570" i="1"/>
  <c r="L432" i="1"/>
  <c r="L418" i="1"/>
  <c r="I168" i="1"/>
  <c r="J642" i="1"/>
  <c r="J139" i="1"/>
  <c r="J551" i="1"/>
  <c r="H139" i="1"/>
  <c r="F22" i="13"/>
  <c r="L559" i="1"/>
  <c r="H191" i="1"/>
  <c r="I570" i="1"/>
  <c r="G36" i="2"/>
  <c r="L564" i="1"/>
  <c r="C22" i="13"/>
  <c r="G407" i="1" l="1"/>
  <c r="H644" i="1" s="1"/>
  <c r="L400" i="1"/>
  <c r="C138" i="2" s="1"/>
  <c r="A40" i="12"/>
  <c r="A31" i="12"/>
  <c r="A13" i="12"/>
  <c r="C113" i="2"/>
  <c r="E31" i="2"/>
  <c r="D31" i="2"/>
  <c r="H475" i="1"/>
  <c r="H623" i="1" s="1"/>
  <c r="C31" i="2"/>
  <c r="I451" i="1"/>
  <c r="I460" i="1" s="1"/>
  <c r="H641" i="1" s="1"/>
  <c r="J641" i="1" s="1"/>
  <c r="G644" i="1"/>
  <c r="G475" i="1"/>
  <c r="H622" i="1" s="1"/>
  <c r="J622" i="1" s="1"/>
  <c r="I475" i="1"/>
  <c r="H624" i="1" s="1"/>
  <c r="D17" i="13"/>
  <c r="C17" i="13" s="1"/>
  <c r="K597" i="1"/>
  <c r="G646" i="1" s="1"/>
  <c r="K550" i="1"/>
  <c r="I551" i="1"/>
  <c r="K549" i="1"/>
  <c r="L538" i="1"/>
  <c r="K548" i="1"/>
  <c r="L533" i="1"/>
  <c r="L528" i="1"/>
  <c r="L544" i="1"/>
  <c r="I544" i="1"/>
  <c r="H544" i="1"/>
  <c r="H551" i="1"/>
  <c r="G551" i="1"/>
  <c r="F551" i="1"/>
  <c r="C16" i="10"/>
  <c r="E117" i="2"/>
  <c r="L327" i="1"/>
  <c r="G661" i="1"/>
  <c r="L308" i="1"/>
  <c r="K337" i="1"/>
  <c r="J337" i="1"/>
  <c r="J351" i="1" s="1"/>
  <c r="H337" i="1"/>
  <c r="H351" i="1" s="1"/>
  <c r="G337" i="1"/>
  <c r="G351" i="1" s="1"/>
  <c r="E108" i="2"/>
  <c r="E114" i="2" s="1"/>
  <c r="F337" i="1"/>
  <c r="F351" i="1" s="1"/>
  <c r="C21" i="10"/>
  <c r="E118" i="2"/>
  <c r="E127" i="2" s="1"/>
  <c r="L289" i="1"/>
  <c r="L381" i="1"/>
  <c r="G635" i="1" s="1"/>
  <c r="J635" i="1" s="1"/>
  <c r="E61" i="2"/>
  <c r="E62" i="2" s="1"/>
  <c r="J633" i="1"/>
  <c r="G660" i="1"/>
  <c r="L361" i="1"/>
  <c r="D29" i="13"/>
  <c r="C29" i="13" s="1"/>
  <c r="D126" i="2"/>
  <c r="D127" i="2" s="1"/>
  <c r="D144" i="2" s="1"/>
  <c r="H660" i="1"/>
  <c r="F660" i="1"/>
  <c r="J654" i="1"/>
  <c r="K351" i="1"/>
  <c r="J644" i="1"/>
  <c r="K256" i="1"/>
  <c r="C124" i="2"/>
  <c r="G650" i="1"/>
  <c r="J650" i="1" s="1"/>
  <c r="D14" i="13"/>
  <c r="C14" i="13" s="1"/>
  <c r="C19" i="10"/>
  <c r="C12" i="10"/>
  <c r="L246" i="1"/>
  <c r="J256" i="1"/>
  <c r="J270" i="1" s="1"/>
  <c r="I256" i="1"/>
  <c r="I270" i="1" s="1"/>
  <c r="E13" i="13"/>
  <c r="C13" i="13" s="1"/>
  <c r="H256" i="1"/>
  <c r="H270" i="1" s="1"/>
  <c r="C20" i="10"/>
  <c r="C111" i="2"/>
  <c r="G256" i="1"/>
  <c r="G270" i="1" s="1"/>
  <c r="C10" i="10"/>
  <c r="C120" i="2"/>
  <c r="C119" i="2"/>
  <c r="L228" i="1"/>
  <c r="F256" i="1"/>
  <c r="F270" i="1" s="1"/>
  <c r="C15" i="10"/>
  <c r="C131" i="2"/>
  <c r="K270" i="1"/>
  <c r="H25" i="13"/>
  <c r="E16" i="13"/>
  <c r="C16" i="13" s="1"/>
  <c r="C108" i="2"/>
  <c r="C122" i="2"/>
  <c r="C18" i="10"/>
  <c r="C110" i="2"/>
  <c r="D5" i="13"/>
  <c r="C5" i="13" s="1"/>
  <c r="C123" i="2"/>
  <c r="D15" i="13"/>
  <c r="C15" i="13" s="1"/>
  <c r="G648" i="1"/>
  <c r="J648" i="1" s="1"/>
  <c r="H646" i="1"/>
  <c r="F661" i="1"/>
  <c r="I661" i="1" s="1"/>
  <c r="C121" i="2"/>
  <c r="D12" i="13"/>
  <c r="C12" i="13" s="1"/>
  <c r="C17" i="10"/>
  <c r="C117" i="2"/>
  <c r="D6" i="13"/>
  <c r="C6" i="13" s="1"/>
  <c r="L210" i="1"/>
  <c r="C109" i="2"/>
  <c r="C11" i="10"/>
  <c r="E8" i="13"/>
  <c r="C8" i="13" s="1"/>
  <c r="I51" i="1"/>
  <c r="H619" i="1" s="1"/>
  <c r="J475" i="1"/>
  <c r="H625" i="1" s="1"/>
  <c r="J638" i="1"/>
  <c r="I445" i="1"/>
  <c r="G641" i="1" s="1"/>
  <c r="K499" i="1"/>
  <c r="C77" i="2"/>
  <c r="C61" i="2"/>
  <c r="C62" i="2" s="1"/>
  <c r="C80" i="2"/>
  <c r="C35" i="10"/>
  <c r="F111" i="1"/>
  <c r="C36" i="10" s="1"/>
  <c r="H51" i="1"/>
  <c r="H618" i="1" s="1"/>
  <c r="J618" i="1" s="1"/>
  <c r="C49" i="2"/>
  <c r="C50" i="2" s="1"/>
  <c r="J621" i="1"/>
  <c r="G624" i="1"/>
  <c r="J624" i="1" s="1"/>
  <c r="E50" i="2"/>
  <c r="G623" i="1"/>
  <c r="J623" i="1" s="1"/>
  <c r="G51" i="1"/>
  <c r="H617" i="1" s="1"/>
  <c r="J617" i="1" s="1"/>
  <c r="D18" i="2"/>
  <c r="F51" i="1"/>
  <c r="H616" i="1" s="1"/>
  <c r="J616" i="1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G42" i="2"/>
  <c r="J50" i="1"/>
  <c r="G16" i="2"/>
  <c r="J19" i="1"/>
  <c r="G620" i="1" s="1"/>
  <c r="G18" i="2"/>
  <c r="F544" i="1"/>
  <c r="H433" i="1"/>
  <c r="J619" i="1"/>
  <c r="D102" i="2"/>
  <c r="D103" i="2" s="1"/>
  <c r="I139" i="1"/>
  <c r="I192" i="1" s="1"/>
  <c r="G629" i="1" s="1"/>
  <c r="J629" i="1" s="1"/>
  <c r="A22" i="12"/>
  <c r="G49" i="2"/>
  <c r="G50" i="2" s="1"/>
  <c r="J651" i="1"/>
  <c r="G570" i="1"/>
  <c r="I433" i="1"/>
  <c r="G433" i="1"/>
  <c r="I662" i="1"/>
  <c r="C27" i="10"/>
  <c r="G634" i="1"/>
  <c r="J634" i="1" s="1"/>
  <c r="J646" i="1" l="1"/>
  <c r="H645" i="1"/>
  <c r="J645" i="1" s="1"/>
  <c r="K551" i="1"/>
  <c r="H659" i="1"/>
  <c r="H663" i="1" s="1"/>
  <c r="H666" i="1" s="1"/>
  <c r="G659" i="1"/>
  <c r="G663" i="1" s="1"/>
  <c r="G666" i="1" s="1"/>
  <c r="L337" i="1"/>
  <c r="L351" i="1" s="1"/>
  <c r="G632" i="1" s="1"/>
  <c r="J632" i="1" s="1"/>
  <c r="E144" i="2"/>
  <c r="D31" i="13"/>
  <c r="C31" i="13" s="1"/>
  <c r="F659" i="1"/>
  <c r="F663" i="1" s="1"/>
  <c r="F671" i="1" s="1"/>
  <c r="C4" i="10" s="1"/>
  <c r="E103" i="2"/>
  <c r="I660" i="1"/>
  <c r="H647" i="1"/>
  <c r="J647" i="1" s="1"/>
  <c r="C114" i="2"/>
  <c r="C127" i="2"/>
  <c r="C25" i="13"/>
  <c r="H33" i="13"/>
  <c r="E33" i="13"/>
  <c r="D35" i="13" s="1"/>
  <c r="C28" i="10"/>
  <c r="D16" i="10" s="1"/>
  <c r="L256" i="1"/>
  <c r="L270" i="1" s="1"/>
  <c r="G631" i="1" s="1"/>
  <c r="J631" i="1" s="1"/>
  <c r="C103" i="2"/>
  <c r="F192" i="1"/>
  <c r="G626" i="1" s="1"/>
  <c r="J626" i="1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I659" i="1" l="1"/>
  <c r="I663" i="1" s="1"/>
  <c r="I671" i="1" s="1"/>
  <c r="C7" i="10" s="1"/>
  <c r="D33" i="13"/>
  <c r="D36" i="13" s="1"/>
  <c r="G671" i="1"/>
  <c r="C5" i="10" s="1"/>
  <c r="H671" i="1"/>
  <c r="C6" i="10" s="1"/>
  <c r="C144" i="2"/>
  <c r="D27" i="10"/>
  <c r="F666" i="1"/>
  <c r="D15" i="10"/>
  <c r="D11" i="10"/>
  <c r="D17" i="10"/>
  <c r="D19" i="10"/>
  <c r="D22" i="10"/>
  <c r="D24" i="10"/>
  <c r="D10" i="10"/>
  <c r="D20" i="10"/>
  <c r="C30" i="10"/>
  <c r="D23" i="10"/>
  <c r="D25" i="10"/>
  <c r="D13" i="10"/>
  <c r="D21" i="10"/>
  <c r="D18" i="10"/>
  <c r="D12" i="10"/>
  <c r="D26" i="10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<sst xmlns="http://schemas.openxmlformats.org/spreadsheetml/2006/main" count="3949" uniqueCount="915">
  <si>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</si>
  <si>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</si>
  <si>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</si>
  <si>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</si>
  <si>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</si>
  <si>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</si>
  <si>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</si>
  <si>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</si>
  <si>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</si>
  <si>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</si>
  <si>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</si>
  <si>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</si>
  <si>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</si>
  <si>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</si>
  <si>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</si>
  <si>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</si>
  <si>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</si>
  <si>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</si>
  <si>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</si>
  <si>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</si>
  <si>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</si>
  <si>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</si>
  <si>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</si>
  <si>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</si>
  <si>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</si>
  <si>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</si>
  <si>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</si>
  <si>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</si>
  <si>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</si>
  <si>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</si>
  <si>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</si>
  <si>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</si>
  <si>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</si>
  <si>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</si>
  <si>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</si>
  <si>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</si>
  <si>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</si>
  <si>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</si>
  <si>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</si>
  <si>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</si>
  <si>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</si>
  <si>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</si>
  <si>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</si>
  <si>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</si>
  <si>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</si>
  <si>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</si>
  <si>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</si>
  <si>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</si>
  <si>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</si>
  <si>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</si>
  <si>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</si>
  <si>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</si>
  <si>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</si>
  <si>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</si>
  <si>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</si>
  <si>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</si>
  <si>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</si>
  <si>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</si>
  <si>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</si>
  <si>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</si>
  <si>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</si>
  <si>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</si>
  <si>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</si>
  <si>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</si>
  <si>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</si>
  <si>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</si>
  <si>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</si>
  <si>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</si>
  <si>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</si>
  <si>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</si>
  <si>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</si>
  <si>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</si>
  <si>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</si>
  <si>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</si>
  <si>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</si>
  <si>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</si>
  <si>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</si>
  <si>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</si>
  <si>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</si>
  <si>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</si>
  <si>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</si>
  <si>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</si>
  <si>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</si>
  <si>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</si>
  <si>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</si>
  <si>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</si>
  <si>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</si>
  <si>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</si>
  <si>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</si>
  <si>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</si>
  <si>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</si>
  <si>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</si>
  <si>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</si>
  <si>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</si>
  <si>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</si>
  <si>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</si>
  <si>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</si>
  <si>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</si>
  <si>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</si>
  <si>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</si>
  <si>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</si>
  <si>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</si>
  <si>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</si>
  <si>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</si>
  <si>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</si>
  <si>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</si>
  <si>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</si>
  <si>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</si>
  <si>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</si>
  <si>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</si>
  <si>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</si>
  <si>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</si>
  <si>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</si>
  <si>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</si>
  <si>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</si>
  <si>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</si>
  <si>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</si>
  <si>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</si>
  <si>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</si>
  <si>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</si>
  <si>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</si>
  <si>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</si>
  <si>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</si>
  <si>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</si>
  <si>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</si>
  <si>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</si>
  <si>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</si>
  <si>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</si>
  <si>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</si>
  <si>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</si>
  <si>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</si>
  <si>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</si>
  <si>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</si>
  <si>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</si>
  <si>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</si>
  <si>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</si>
  <si>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</si>
  <si>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</si>
  <si>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</si>
  <si>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</si>
  <si>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</si>
  <si>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</si>
  <si>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</si>
  <si>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</si>
  <si>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</si>
  <si>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</si>
  <si>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</si>
  <si>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</si>
  <si>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</si>
  <si>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</si>
  <si>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</si>
  <si>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</si>
  <si>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</si>
  <si>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</si>
  <si>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</si>
  <si>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</si>
  <si>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</si>
  <si>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</si>
  <si>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</si>
  <si>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</si>
  <si>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</si>
  <si>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</si>
  <si>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</si>
  <si>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</si>
  <si>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</si>
  <si>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</si>
  <si>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</si>
  <si>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</si>
  <si>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</si>
  <si>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</si>
  <si>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</si>
  <si>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</si>
  <si>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</si>
  <si>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</si>
  <si>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</si>
  <si>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</si>
  <si>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</si>
  <si>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</si>
  <si>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</si>
  <si>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</si>
  <si>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</si>
  <si>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</si>
  <si>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</si>
  <si>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</si>
  <si>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</si>
  <si>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</si>
  <si>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</si>
  <si>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</si>
  <si>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</si>
  <si>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</si>
  <si>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</si>
  <si>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</si>
  <si>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</si>
  <si>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</si>
  <si>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</si>
  <si>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</si>
  <si>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</si>
  <si>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</si>
  <si>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</si>
  <si>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</si>
  <si>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</si>
  <si>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</si>
  <si>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</si>
  <si>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</si>
  <si>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</si>
  <si>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</si>
  <si>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</si>
  <si>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</si>
  <si>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</si>
  <si>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</si>
  <si>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</si>
  <si>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</si>
  <si>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</si>
  <si>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</si>
  <si>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</si>
  <si>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</si>
  <si>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</si>
  <si>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</si>
  <si>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</si>
  <si>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</si>
  <si>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</si>
  <si>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</si>
  <si>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</si>
  <si>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</si>
  <si>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</si>
  <si>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</si>
  <si>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</si>
  <si>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</si>
  <si>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</si>
  <si>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</si>
  <si>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</si>
  <si>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</si>
  <si>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</si>
  <si>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</si>
  <si>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</si>
  <si>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</si>
  <si>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</si>
  <si>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</si>
  <si>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</si>
  <si>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</si>
  <si>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</si>
  <si>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</si>
  <si>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</si>
  <si>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</si>
  <si>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</si>
  <si>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</si>
  <si>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</si>
  <si>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</si>
  <si>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</si>
  <si>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</si>
  <si>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</si>
  <si>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</si>
  <si>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</si>
  <si>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</si>
  <si>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</si>
  <si>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</si>
  <si>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</si>
  <si>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</si>
  <si>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</si>
  <si>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</si>
  <si>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</si>
  <si>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</si>
  <si>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</si>
  <si>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</si>
  <si>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</si>
  <si>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</si>
  <si>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</si>
  <si>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</si>
  <si>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</si>
  <si>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</si>
  <si>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</si>
  <si>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</si>
  <si>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</si>
  <si>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</si>
  <si>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</si>
  <si>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</si>
  <si>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</si>
  <si>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</si>
  <si>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</si>
  <si>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</si>
  <si>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</si>
  <si>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</si>
  <si>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</si>
  <si>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</si>
  <si>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</si>
  <si>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</si>
  <si>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</si>
  <si>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</si>
  <si>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</si>
  <si>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</si>
  <si>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</si>
  <si>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</si>
  <si>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</si>
  <si>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</si>
  <si>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</si>
  <si>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</si>
  <si>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</si>
  <si>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</si>
  <si>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</si>
  <si>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</si>
  <si>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</si>
  <si>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</si>
  <si>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</si>
  <si>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</si>
  <si>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</si>
  <si>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</si>
  <si>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</si>
  <si>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</si>
  <si>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</si>
  <si>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</si>
  <si>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</si>
  <si>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</si>
  <si>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</si>
  <si>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</si>
  <si>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</si>
  <si>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</si>
  <si>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</si>
  <si>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</si>
  <si>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</si>
  <si>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</si>
  <si>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</si>
  <si>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</si>
  <si>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</si>
  <si>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</si>
  <si>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</si>
  <si>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</si>
  <si>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</si>
  <si>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</si>
  <si>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</si>
  <si>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</si>
  <si>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</si>
  <si>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</si>
  <si>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</si>
  <si>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</si>
  <si>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</si>
  <si>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</si>
  <si>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</si>
  <si>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</si>
  <si>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</si>
  <si>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</si>
  <si>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</si>
  <si>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</si>
  <si>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</si>
  <si>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</si>
  <si>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</si>
  <si>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</si>
  <si>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</si>
  <si>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</si>
  <si>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</si>
  <si>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</si>
  <si>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</si>
  <si>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</si>
  <si>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</si>
  <si>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</si>
  <si>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</si>
  <si>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</si>
  <si>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</si>
  <si>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</si>
  <si>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</si>
  <si>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</si>
  <si>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</si>
  <si>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</si>
  <si>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</si>
  <si>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</si>
  <si>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</si>
  <si>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</si>
  <si>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</si>
  <si>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</si>
  <si>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</si>
  <si>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</si>
  <si>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</si>
  <si>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</si>
  <si>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</si>
  <si>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</si>
  <si>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</si>
  <si>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</si>
  <si>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</si>
  <si>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</si>
  <si>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</si>
  <si>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</si>
  <si>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</si>
  <si>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</si>
  <si>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</si>
  <si>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</si>
  <si>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</si>
  <si>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</si>
  <si>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</si>
  <si>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</si>
  <si>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</si>
  <si>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</si>
  <si>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</si>
  <si>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</si>
  <si>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</si>
  <si>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</si>
  <si>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</si>
  <si>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</si>
  <si>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</si>
  <si>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</si>
  <si>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</si>
  <si>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</si>
  <si>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</si>
  <si>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</si>
  <si>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</si>
  <si>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</si>
  <si>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</si>
  <si>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</si>
  <si>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</si>
  <si>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</si>
  <si>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</si>
  <si>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</si>
  <si>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</si>
  <si>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</si>
  <si>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</si>
  <si>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</si>
  <si>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</si>
  <si>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</si>
  <si>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</si>
  <si>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</si>
  <si>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</si>
  <si>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</si>
  <si>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</si>
  <si>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</si>
  <si>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</si>
  <si>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</si>
  <si>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</si>
  <si>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</si>
  <si>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</si>
  <si>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</si>
  <si>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</si>
  <si>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</si>
  <si>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</si>
  <si>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</si>
  <si>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</si>
  <si>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</si>
  <si>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</si>
  <si>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</si>
  <si>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</si>
  <si>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</si>
  <si>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</si>
  <si>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</si>
  <si>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</si>
  <si>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</si>
  <si>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</si>
  <si>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</si>
  <si>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</si>
  <si>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</si>
  <si>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</si>
  <si>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</si>
  <si>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</si>
  <si>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</si>
  <si>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</si>
  <si>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</si>
  <si>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</si>
  <si>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</si>
  <si>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</si>
  <si>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</si>
  <si>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</si>
  <si>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</si>
  <si>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</si>
  <si>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</si>
  <si>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</si>
  <si>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</si>
  <si>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</si>
  <si>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</si>
  <si>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</si>
  <si>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</si>
  <si>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</si>
  <si>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</si>
  <si>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</si>
  <si>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</si>
  <si>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</si>
  <si>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</si>
  <si>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</si>
  <si>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</si>
  <si>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</si>
  <si>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</si>
  <si>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</si>
  <si>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</si>
  <si>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</si>
  <si>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</si>
  <si>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</si>
  <si>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</si>
  <si>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</si>
  <si>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</si>
  <si>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</si>
  <si>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</si>
  <si>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</si>
  <si>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</si>
  <si>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</si>
  <si>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</si>
  <si>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</si>
  <si>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</si>
  <si>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</si>
  <si>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</si>
  <si>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</si>
  <si>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</si>
  <si>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</si>
  <si>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</si>
  <si>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</si>
  <si>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</si>
  <si>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</si>
  <si>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</si>
  <si>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</si>
  <si>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</si>
  <si>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</si>
  <si>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</si>
  <si>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</si>
  <si>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</si>
  <si>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</si>
  <si>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</si>
  <si>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</si>
  <si>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</si>
  <si>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</si>
  <si>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</si>
  <si>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</si>
  <si>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</si>
  <si>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</si>
  <si>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</si>
  <si>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</si>
  <si>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</si>
  <si>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</si>
  <si>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</si>
  <si>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</si>
  <si>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</si>
  <si>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</si>
  <si>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</si>
  <si>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</si>
  <si>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</si>
  <si>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</si>
  <si>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</si>
  <si>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</si>
  <si>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</si>
  <si>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</si>
  <si>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</si>
  <si>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</si>
  <si>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</si>
  <si>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</si>
  <si>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</si>
  <si>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</si>
  <si>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</si>
  <si>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</si>
  <si>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</si>
  <si>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</si>
  <si>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</si>
  <si>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</si>
  <si>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</si>
  <si>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</si>
  <si>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</si>
  <si>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</si>
  <si>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</si>
  <si>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</si>
  <si>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</si>
  <si>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</si>
  <si>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</si>
  <si>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</si>
  <si>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</si>
  <si>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</si>
  <si>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</si>
  <si>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</si>
  <si>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</si>
  <si>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</si>
  <si>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</si>
  <si>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</si>
  <si>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</si>
  <si>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</si>
  <si>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</si>
  <si>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</si>
  <si>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</si>
  <si>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</si>
  <si>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</si>
  <si>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</si>
  <si>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</si>
  <si>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</si>
  <si>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</si>
  <si>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</si>
  <si>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</si>
  <si>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</si>
  <si>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</si>
  <si>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</si>
  <si>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</si>
  <si>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</si>
  <si>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</si>
  <si>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</si>
  <si>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</si>
  <si>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</si>
  <si>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</si>
  <si>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</si>
  <si>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</si>
  <si>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</si>
  <si>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</si>
  <si>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</si>
  <si>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</si>
  <si>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</si>
  <si>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</si>
  <si>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</si>
  <si>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</si>
  <si>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</si>
  <si>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</si>
  <si>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</si>
  <si>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</si>
  <si>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</si>
  <si>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</si>
  <si>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</si>
  <si>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</si>
  <si>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</si>
  <si>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</si>
  <si>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</si>
  <si>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</si>
  <si>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</si>
  <si>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</si>
  <si>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</si>
  <si>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</si>
  <si>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</si>
  <si>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</si>
  <si>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</si>
  <si>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</si>
  <si>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</si>
  <si>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</si>
  <si>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</si>
  <si>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</si>
  <si>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</si>
  <si>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</si>
  <si>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</si>
  <si>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</si>
  <si>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</si>
  <si>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</si>
  <si>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</si>
  <si>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</si>
  <si>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</si>
  <si>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</si>
  <si>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</si>
  <si>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</si>
  <si>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</si>
  <si>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</si>
  <si>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</si>
  <si>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</si>
  <si>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</si>
  <si>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</si>
  <si>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</si>
  <si>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</si>
  <si>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</si>
  <si>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</si>
  <si>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</si>
  <si>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</si>
  <si>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</si>
  <si>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</si>
  <si>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</si>
  <si>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</si>
  <si>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</si>
  <si>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</si>
  <si>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</si>
  <si>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</si>
  <si>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</si>
  <si>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</si>
  <si>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</si>
  <si>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</si>
  <si>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</si>
  <si>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</si>
  <si>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</si>
  <si>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</si>
  <si>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</si>
  <si>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</si>
  <si>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</si>
  <si>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</si>
  <si>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</si>
  <si>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</si>
  <si>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</si>
  <si>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</si>
  <si>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</si>
  <si>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</si>
  <si>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</si>
  <si>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</si>
  <si>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</si>
  <si>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</si>
  <si>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</si>
  <si>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</si>
  <si>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</si>
  <si>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</si>
  <si>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</si>
  <si>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</si>
  <si>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</si>
  <si>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</si>
  <si>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</si>
  <si>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</si>
  <si>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</si>
  <si>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</si>
  <si>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</si>
  <si>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</si>
  <si>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</si>
  <si>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</si>
  <si>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</si>
  <si>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</si>
  <si>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</si>
  <si>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</si>
  <si>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</si>
  <si>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</si>
  <si>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</si>
  <si>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</si>
  <si>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</si>
  <si>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</si>
  <si>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</si>
  <si>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</si>
  <si>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</si>
  <si>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</si>
  <si>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</si>
  <si>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</si>
  <si>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</si>
  <si>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</si>
  <si>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</si>
  <si>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</si>
  <si>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</si>
  <si>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</si>
  <si>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</si>
  <si>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</si>
  <si>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</si>
  <si>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</si>
  <si>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</si>
  <si>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</si>
  <si>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</si>
  <si>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</si>
  <si>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</si>
  <si>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</si>
  <si>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</si>
  <si>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</si>
  <si>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</si>
  <si>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</si>
  <si>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</si>
  <si>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</si>
  <si>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</si>
  <si>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</si>
  <si>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</si>
  <si>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</si>
  <si>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</si>
  <si>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</si>
  <si>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</si>
  <si>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</si>
  <si>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</si>
  <si>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</si>
  <si>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</si>
  <si>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</si>
  <si>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</si>
  <si>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</si>
  <si>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</si>
  <si>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</si>
  <si>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</si>
  <si>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</si>
  <si>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</si>
  <si>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</si>
  <si>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</si>
  <si>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</si>
  <si>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</si>
  <si>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</si>
  <si>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</si>
  <si>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</si>
  <si>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</si>
  <si>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</si>
  <si>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</si>
  <si>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</si>
  <si>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</si>
  <si>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</si>
  <si>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</si>
  <si>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</si>
  <si>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</si>
  <si>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</si>
  <si>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</si>
  <si>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</si>
  <si>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</si>
  <si>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</si>
  <si>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</si>
  <si>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</si>
  <si>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</si>
  <si>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</si>
  <si>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</si>
  <si>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</si>
  <si>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</si>
  <si>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</si>
  <si>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</si>
  <si>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</si>
  <si>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</si>
  <si>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</si>
  <si>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</si>
  <si>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</si>
  <si>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</si>
  <si>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</si>
  <si>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</si>
  <si>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</si>
  <si>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</si>
  <si>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</si>
  <si>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</si>
  <si>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</si>
  <si>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</si>
  <si>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</si>
  <si>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</si>
  <si>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</si>
  <si>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</si>
  <si>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</si>
  <si>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</si>
  <si>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</si>
  <si>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</si>
  <si>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</si>
  <si>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</si>
  <si>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</si>
  <si>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</si>
  <si>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</si>
  <si>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</si>
  <si>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</si>
  <si>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</si>
  <si>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</si>
  <si>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</si>
  <si>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</si>
  <si>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</si>
  <si>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</si>
  <si>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</si>
  <si>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</si>
  <si>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</si>
  <si>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</si>
  <si>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</si>
  <si>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</si>
  <si>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</si>
  <si>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</si>
  <si>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</si>
  <si>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</si>
  <si>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</si>
  <si>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</si>
  <si>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</si>
  <si>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</si>
  <si>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</si>
  <si>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</si>
  <si>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</si>
  <si>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</si>
  <si>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</si>
  <si>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</si>
  <si>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</si>
  <si>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</si>
  <si>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</si>
  <si>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</si>
  <si>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</si>
  <si>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</si>
  <si>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</si>
  <si>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</si>
  <si>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</si>
  <si>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</si>
  <si>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</si>
  <si>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</si>
  <si>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</si>
  <si>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</si>
  <si>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</si>
  <si>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</si>
  <si>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</si>
  <si>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</si>
  <si>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</si>
  <si>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</si>
  <si>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</si>
  <si>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</si>
  <si>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</si>
  <si>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</si>
  <si>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</si>
  <si>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</si>
  <si>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</si>
  <si>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</si>
  <si>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</si>
  <si>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</si>
  <si>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</si>
  <si>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</si>
  <si>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</si>
  <si>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</si>
  <si>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</si>
  <si>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</si>
  <si>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</si>
  <si>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</si>
  <si>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</si>
  <si>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</si>
  <si>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</si>
  <si>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</si>
  <si>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</si>
  <si>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</si>
  <si>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</si>
  <si>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</si>
  <si>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</si>
  <si>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</si>
  <si>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</si>
  <si>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</si>
  <si>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</si>
  <si>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</si>
  <si>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</si>
  <si>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</si>
  <si>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</si>
  <si>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</si>
  <si>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</si>
  <si>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</si>
  <si>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</si>
  <si>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</si>
  <si>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</si>
  <si>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</si>
  <si>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</si>
  <si>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</si>
  <si>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</si>
  <si>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</si>
  <si>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</si>
  <si>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</si>
  <si>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</si>
  <si>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</si>
  <si>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</si>
  <si>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</si>
  <si>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</si>
  <si>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</si>
  <si>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</si>
  <si>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</si>
  <si>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</si>
  <si>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6/10</t>
  </si>
  <si>
    <t>9/26</t>
  </si>
  <si>
    <t>Trust- Adj Unrealized Loss</t>
  </si>
  <si>
    <t>F/S Change in inventory</t>
  </si>
  <si>
    <t>General- $44,816 audit adj- accrued payroll</t>
  </si>
  <si>
    <t>Mascenic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</si>
</sst>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5" t="s">
        <v>914</v>
      </c>
      <c r="B2" s="21">
        <v>342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863775</v>
      </c>
      <c r="G9" s="18">
        <v>100</v>
      </c>
      <c r="H9" s="18">
        <v>966</v>
      </c>
      <c r="I9" s="18"/>
      <c r="J9" s="67">
        <f>SUM(I438)</f>
        <v>0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>
        <v>6018</v>
      </c>
      <c r="I10" s="18"/>
      <c r="J10" s="67">
        <f>SUM(I439)</f>
        <v>143893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198061</v>
      </c>
      <c r="G12" s="18">
        <v>4056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20732</v>
      </c>
      <c r="G14" s="18">
        <v>37328</v>
      </c>
      <c r="H14" s="18">
        <v>211601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8811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1082568</v>
      </c>
      <c r="G19" s="41">
        <f>SUM(G9:G18)</f>
        <v>50295</v>
      </c>
      <c r="H19" s="41">
        <f>SUM(H9:H18)</f>
        <v>218585</v>
      </c>
      <c r="I19" s="41">
        <f>SUM(I9:I18)</f>
        <v>0</v>
      </c>
      <c r="J19" s="41">
        <f>SUM(J9:J18)</f>
        <v>143893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202116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113458</v>
      </c>
      <c r="G24" s="18">
        <v>32724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44259</v>
      </c>
      <c r="G28" s="18"/>
      <c r="H28" s="18">
        <v>6188</v>
      </c>
      <c r="I28" s="18"/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157717</v>
      </c>
      <c r="G32" s="41">
        <f>SUM(G22:G31)</f>
        <v>32724</v>
      </c>
      <c r="H32" s="41">
        <f>SUM(H22:H31)</f>
        <v>208304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8811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8760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1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1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10281</v>
      </c>
      <c r="I47" s="18"/>
      <c r="J47" s="13">
        <f>SUM(I458)</f>
        <v>143893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108112</v>
      </c>
      <c r="G48" s="18"/>
      <c r="H48" s="18"/>
      <c r="I48" s="18"/>
      <c r="J48" s="13">
        <f>I453</f>
        <v>0</v>
      </c>
      <c r="K48" s="24"/>
      <c r="L48" s="24"/>
      <c r="M48" s="8"/>
      <c r="N48" s="271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816739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1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924851</v>
      </c>
      <c r="G50" s="41">
        <f>SUM(G35:G49)</f>
        <v>17571</v>
      </c>
      <c r="H50" s="41">
        <f>SUM(H35:H49)</f>
        <v>10281</v>
      </c>
      <c r="I50" s="41">
        <f>SUM(I35:I49)</f>
        <v>0</v>
      </c>
      <c r="J50" s="41">
        <f>SUM(J35:J49)</f>
        <v>143893</v>
      </c>
      <c r="K50" s="45" t="s">
        <v>289</v>
      </c>
      <c r="L50" s="45" t="s">
        <v>289</v>
      </c>
      <c r="N50" s="269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1082568</v>
      </c>
      <c r="G51" s="41">
        <f>G50+G32</f>
        <v>50295</v>
      </c>
      <c r="H51" s="41">
        <f>H50+H32</f>
        <v>218585</v>
      </c>
      <c r="I51" s="41">
        <f>I50+I32</f>
        <v>0</v>
      </c>
      <c r="J51" s="41">
        <f>J50+J32</f>
        <v>143893</v>
      </c>
      <c r="K51" s="45" t="s">
        <v>289</v>
      </c>
      <c r="L51" s="45" t="s">
        <v>289</v>
      </c>
      <c r="M51" s="8"/>
      <c r="N51" s="271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1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1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1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1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6558214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1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1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2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6558214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2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1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40152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1250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2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1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4541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1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18711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69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64654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  <c r="N78" s="271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1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1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1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1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1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1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1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1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>
        <v>9</v>
      </c>
      <c r="I95" s="18">
        <v>109</v>
      </c>
      <c r="J95" s="18">
        <v>3227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154065+4872+62952</f>
        <v>221889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11183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977</v>
      </c>
      <c r="I101" s="18"/>
      <c r="J101" s="18"/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f>750+113740</f>
        <v>114490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1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1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25913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24529</v>
      </c>
      <c r="G109" s="18"/>
      <c r="H109" s="18">
        <v>2000</v>
      </c>
      <c r="I109" s="18"/>
      <c r="J109" s="18"/>
      <c r="K109" s="24" t="s">
        <v>289</v>
      </c>
      <c r="L109" s="24" t="s">
        <v>289</v>
      </c>
      <c r="M109" s="8"/>
      <c r="N109" s="271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176115</v>
      </c>
      <c r="G110" s="41">
        <f>SUM(G95:G109)</f>
        <v>221889</v>
      </c>
      <c r="H110" s="41">
        <f>SUM(H95:H109)</f>
        <v>2986</v>
      </c>
      <c r="I110" s="41">
        <f>SUM(I95:I109)</f>
        <v>109</v>
      </c>
      <c r="J110" s="41">
        <f>SUM(J95:J109)</f>
        <v>3227</v>
      </c>
      <c r="K110" s="45" t="s">
        <v>289</v>
      </c>
      <c r="L110" s="45" t="s">
        <v>289</v>
      </c>
      <c r="N110" s="269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6798983</v>
      </c>
      <c r="G111" s="41">
        <f>G59+G110</f>
        <v>221889</v>
      </c>
      <c r="H111" s="41">
        <f>H59+H78+H93+H110</f>
        <v>2986</v>
      </c>
      <c r="I111" s="41">
        <f>I59+I110</f>
        <v>109</v>
      </c>
      <c r="J111" s="41">
        <f>J59+J110</f>
        <v>3227</v>
      </c>
      <c r="K111" s="45" t="s">
        <v>289</v>
      </c>
      <c r="L111" s="45" t="s">
        <v>289</v>
      </c>
      <c r="M111" s="8"/>
      <c r="N111" s="271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1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1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1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1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5416379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1131628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1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6548007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1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1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810885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91941</v>
      </c>
      <c r="G123" s="24"/>
      <c r="H123" s="24"/>
      <c r="I123" s="18"/>
      <c r="J123" s="24"/>
      <c r="K123" s="24"/>
      <c r="L123" s="24"/>
      <c r="M123" s="8"/>
      <c r="N123" s="271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124200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1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123840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23208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1161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1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4908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1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1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1175235</v>
      </c>
      <c r="G135" s="41">
        <f>SUM(G122:G134)</f>
        <v>4908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1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1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7723242</v>
      </c>
      <c r="G139" s="41">
        <f>G120+SUM(G135:G136)</f>
        <v>4908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1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1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1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3" t="s">
        <v>772</v>
      </c>
      <c r="I142" s="16" t="s">
        <v>284</v>
      </c>
      <c r="J142" s="16" t="s">
        <v>285</v>
      </c>
      <c r="K142" s="20"/>
      <c r="L142" s="20"/>
      <c r="M142" s="8"/>
      <c r="N142" s="271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1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1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1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1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1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272585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146749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1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199039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321010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102761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34683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102761</v>
      </c>
      <c r="G161" s="41">
        <f>SUM(G149:G160)</f>
        <v>233722</v>
      </c>
      <c r="H161" s="41">
        <f>SUM(H149:H160)</f>
        <v>740344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1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1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1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1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102761</v>
      </c>
      <c r="G168" s="41">
        <f>G146+G161+SUM(G162:G167)</f>
        <v>233722</v>
      </c>
      <c r="H168" s="41">
        <f>H146+H161+SUM(H162:H167)</f>
        <v>740344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1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1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1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3" t="s">
        <v>772</v>
      </c>
      <c r="I171" s="16" t="s">
        <v>284</v>
      </c>
      <c r="J171" s="16" t="s">
        <v>285</v>
      </c>
      <c r="K171" s="20"/>
      <c r="L171" s="20"/>
      <c r="M171" s="8"/>
      <c r="N171" s="271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1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1153460</v>
      </c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1153460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1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1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8875</v>
      </c>
      <c r="H178" s="18"/>
      <c r="I178" s="18">
        <v>1352</v>
      </c>
      <c r="J178" s="18">
        <v>50000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1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1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8875</v>
      </c>
      <c r="H182" s="41">
        <f>SUM(H178:H181)</f>
        <v>0</v>
      </c>
      <c r="I182" s="41">
        <f>SUM(I178:I181)</f>
        <v>1352</v>
      </c>
      <c r="J182" s="41">
        <f>SUM(J178:J181)</f>
        <v>50000</v>
      </c>
      <c r="K182" s="45" t="s">
        <v>289</v>
      </c>
      <c r="L182" s="45" t="s">
        <v>289</v>
      </c>
      <c r="M182" s="8"/>
      <c r="N182" s="271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1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69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69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1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1153460</v>
      </c>
      <c r="G191" s="41">
        <f>G182+SUM(G187:G190)</f>
        <v>8875</v>
      </c>
      <c r="H191" s="41">
        <f>+H182+SUM(H187:H190)</f>
        <v>0</v>
      </c>
      <c r="I191" s="41">
        <f>I176+I182+SUM(I187:I190)</f>
        <v>1352</v>
      </c>
      <c r="J191" s="41">
        <f>J182</f>
        <v>50000</v>
      </c>
      <c r="K191" s="45" t="s">
        <v>289</v>
      </c>
      <c r="L191" s="45" t="s">
        <v>289</v>
      </c>
      <c r="M191" s="8"/>
      <c r="N191" s="271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15778446</v>
      </c>
      <c r="G192" s="47">
        <f>G111+G139+G168+G191</f>
        <v>469394</v>
      </c>
      <c r="H192" s="47">
        <f>H111+H139+H168+H191</f>
        <v>743330</v>
      </c>
      <c r="I192" s="47">
        <f>I111+I139+I168+I191</f>
        <v>1461</v>
      </c>
      <c r="J192" s="47">
        <f>J111+J139+J191</f>
        <v>53227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  <c r="N193" s="271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1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1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1279362</v>
      </c>
      <c r="G196" s="18">
        <v>509573</v>
      </c>
      <c r="H196" s="18">
        <v>15641</v>
      </c>
      <c r="I196" s="18">
        <v>102004</v>
      </c>
      <c r="J196" s="18">
        <v>43344</v>
      </c>
      <c r="K196" s="18"/>
      <c r="L196" s="19">
        <f>SUM(F196:K196)</f>
        <v>1949924</v>
      </c>
      <c r="M196" s="8"/>
      <c r="N196" s="271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252213</v>
      </c>
      <c r="G197" s="18">
        <v>61525</v>
      </c>
      <c r="H197" s="18">
        <v>64825</v>
      </c>
      <c r="I197" s="18">
        <v>961</v>
      </c>
      <c r="J197" s="18">
        <v>1610</v>
      </c>
      <c r="K197" s="18">
        <v>150</v>
      </c>
      <c r="L197" s="19">
        <f>SUM(F197:K197)</f>
        <v>381284</v>
      </c>
      <c r="M197" s="8"/>
      <c r="N197" s="271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1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10294</v>
      </c>
      <c r="G199" s="18">
        <v>1512</v>
      </c>
      <c r="H199" s="18"/>
      <c r="I199" s="18">
        <v>492</v>
      </c>
      <c r="J199" s="18"/>
      <c r="K199" s="18"/>
      <c r="L199" s="19">
        <f>SUM(F199:K199)</f>
        <v>12298</v>
      </c>
      <c r="M199" s="8"/>
      <c r="N199" s="271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1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183430+6419</f>
        <v>189849</v>
      </c>
      <c r="G201" s="18">
        <f>71010+586</f>
        <v>71596</v>
      </c>
      <c r="H201" s="18">
        <v>142098</v>
      </c>
      <c r="I201" s="18">
        <v>2666</v>
      </c>
      <c r="J201" s="18"/>
      <c r="K201" s="18">
        <v>275</v>
      </c>
      <c r="L201" s="19">
        <f t="shared" ref="L201:L207" si="0">SUM(F201:K201)</f>
        <v>406484</v>
      </c>
      <c r="M201" s="8"/>
      <c r="N201" s="271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67148</v>
      </c>
      <c r="G202" s="18">
        <v>64494</v>
      </c>
      <c r="H202" s="18">
        <v>9</v>
      </c>
      <c r="I202" s="18">
        <v>19031</v>
      </c>
      <c r="J202" s="18"/>
      <c r="K202" s="18"/>
      <c r="L202" s="19">
        <f t="shared" si="0"/>
        <v>150682</v>
      </c>
      <c r="M202" s="8"/>
      <c r="N202" s="271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85749+2184</f>
        <v>87933</v>
      </c>
      <c r="G203" s="18">
        <f>33181+200</f>
        <v>33381</v>
      </c>
      <c r="H203" s="18">
        <f>11957+52838</f>
        <v>64795</v>
      </c>
      <c r="I203" s="18">
        <f>1099+1119</f>
        <v>2218</v>
      </c>
      <c r="J203" s="18">
        <v>2114</v>
      </c>
      <c r="K203" s="18">
        <f>1764+3289</f>
        <v>5053</v>
      </c>
      <c r="L203" s="19">
        <f t="shared" si="0"/>
        <v>195494</v>
      </c>
      <c r="M203" s="8"/>
      <c r="N203" s="271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233602</v>
      </c>
      <c r="G204" s="18">
        <v>87976</v>
      </c>
      <c r="H204" s="18">
        <v>9158</v>
      </c>
      <c r="I204" s="18">
        <v>4624</v>
      </c>
      <c r="J204" s="18">
        <v>180</v>
      </c>
      <c r="K204" s="18">
        <v>2531</v>
      </c>
      <c r="L204" s="19">
        <f t="shared" si="0"/>
        <v>338071</v>
      </c>
      <c r="M204" s="8"/>
      <c r="N204" s="271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49062</v>
      </c>
      <c r="G205" s="18">
        <v>25851</v>
      </c>
      <c r="H205" s="18">
        <v>630</v>
      </c>
      <c r="I205" s="18">
        <v>3851</v>
      </c>
      <c r="J205" s="18">
        <v>1487</v>
      </c>
      <c r="K205" s="18">
        <v>637</v>
      </c>
      <c r="L205" s="19">
        <f t="shared" si="0"/>
        <v>81518</v>
      </c>
      <c r="M205" s="8"/>
      <c r="N205" s="271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174217</v>
      </c>
      <c r="G206" s="18">
        <v>89722</v>
      </c>
      <c r="H206" s="18">
        <v>100423</v>
      </c>
      <c r="I206" s="18">
        <f>288+117385</f>
        <v>117673</v>
      </c>
      <c r="J206" s="18">
        <v>6401</v>
      </c>
      <c r="K206" s="18"/>
      <c r="L206" s="19">
        <f t="shared" si="0"/>
        <v>488436</v>
      </c>
      <c r="M206" s="8"/>
      <c r="N206" s="271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204406</v>
      </c>
      <c r="I207" s="18"/>
      <c r="J207" s="18"/>
      <c r="K207" s="18"/>
      <c r="L207" s="19">
        <f t="shared" si="0"/>
        <v>204406</v>
      </c>
      <c r="M207" s="8"/>
      <c r="N207" s="271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63817</v>
      </c>
      <c r="G208" s="18">
        <v>24550</v>
      </c>
      <c r="H208" s="18">
        <f>251+2791</f>
        <v>3042</v>
      </c>
      <c r="I208" s="18">
        <v>127</v>
      </c>
      <c r="J208" s="18">
        <v>-23</v>
      </c>
      <c r="K208" s="18">
        <v>1419</v>
      </c>
      <c r="L208" s="19">
        <f>SUM(F208:K208)</f>
        <v>92932</v>
      </c>
      <c r="M208" s="8"/>
      <c r="N208" s="271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1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2407497</v>
      </c>
      <c r="G210" s="41">
        <f t="shared" si="1"/>
        <v>970180</v>
      </c>
      <c r="H210" s="41">
        <f t="shared" si="1"/>
        <v>605027</v>
      </c>
      <c r="I210" s="41">
        <f t="shared" si="1"/>
        <v>253647</v>
      </c>
      <c r="J210" s="41">
        <f t="shared" si="1"/>
        <v>55113</v>
      </c>
      <c r="K210" s="41">
        <f t="shared" si="1"/>
        <v>10065</v>
      </c>
      <c r="L210" s="41">
        <f t="shared" si="1"/>
        <v>4301529</v>
      </c>
      <c r="M210" s="8"/>
      <c r="N210" s="271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7"/>
      <c r="M211" s="8"/>
      <c r="N211" s="271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1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1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1218817</v>
      </c>
      <c r="G214" s="18">
        <v>579825</v>
      </c>
      <c r="H214" s="18">
        <v>10763</v>
      </c>
      <c r="I214" s="18">
        <v>63467</v>
      </c>
      <c r="J214" s="18">
        <v>43169</v>
      </c>
      <c r="K214" s="18">
        <v>1574</v>
      </c>
      <c r="L214" s="19">
        <f>SUM(F214:K214)</f>
        <v>1917615</v>
      </c>
      <c r="M214" s="8"/>
      <c r="N214" s="271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229535</v>
      </c>
      <c r="G215" s="18">
        <v>62897</v>
      </c>
      <c r="H215" s="18">
        <v>88906</v>
      </c>
      <c r="I215" s="18">
        <v>338</v>
      </c>
      <c r="J215" s="18">
        <v>475</v>
      </c>
      <c r="K215" s="18">
        <v>1385</v>
      </c>
      <c r="L215" s="19">
        <f>SUM(F215:K215)</f>
        <v>383536</v>
      </c>
      <c r="M215" s="8"/>
      <c r="N215" s="271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1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29171</v>
      </c>
      <c r="G217" s="18">
        <v>4180</v>
      </c>
      <c r="H217" s="18">
        <v>5995</v>
      </c>
      <c r="I217" s="18">
        <v>1295</v>
      </c>
      <c r="J217" s="18">
        <v>1404</v>
      </c>
      <c r="K217" s="18">
        <v>1000</v>
      </c>
      <c r="L217" s="19">
        <f>SUM(F217:K217)</f>
        <v>43045</v>
      </c>
      <c r="M217" s="8"/>
      <c r="N217" s="271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1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6419+163022</f>
        <v>169441</v>
      </c>
      <c r="G219" s="18">
        <f>586+78532</f>
        <v>79118</v>
      </c>
      <c r="H219" s="18">
        <v>42483</v>
      </c>
      <c r="I219" s="18">
        <v>2695</v>
      </c>
      <c r="J219" s="18"/>
      <c r="K219" s="18">
        <v>125</v>
      </c>
      <c r="L219" s="19">
        <f t="shared" ref="L219:L225" si="2">SUM(F219:K219)</f>
        <v>293862</v>
      </c>
      <c r="M219" s="8"/>
      <c r="N219" s="271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52344</v>
      </c>
      <c r="G220" s="18">
        <v>41117</v>
      </c>
      <c r="H220" s="18">
        <v>30</v>
      </c>
      <c r="I220" s="18">
        <v>10952</v>
      </c>
      <c r="J220" s="18"/>
      <c r="K220" s="18"/>
      <c r="L220" s="19">
        <f t="shared" si="2"/>
        <v>104443</v>
      </c>
      <c r="M220" s="8"/>
      <c r="N220" s="271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85749+2154</f>
        <v>87903</v>
      </c>
      <c r="G221" s="18">
        <f>33181+196</f>
        <v>33377</v>
      </c>
      <c r="H221" s="18">
        <f>11957+50504</f>
        <v>62461</v>
      </c>
      <c r="I221" s="18">
        <f>1099+1110</f>
        <v>2209</v>
      </c>
      <c r="J221" s="18">
        <v>2114</v>
      </c>
      <c r="K221" s="18">
        <f>1764+3289</f>
        <v>5053</v>
      </c>
      <c r="L221" s="19">
        <f t="shared" si="2"/>
        <v>193117</v>
      </c>
      <c r="M221" s="8"/>
      <c r="N221" s="271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203889</v>
      </c>
      <c r="G222" s="18">
        <v>72350</v>
      </c>
      <c r="H222" s="18">
        <v>7164</v>
      </c>
      <c r="I222" s="18">
        <v>2658</v>
      </c>
      <c r="J222" s="18"/>
      <c r="K222" s="18">
        <v>1501</v>
      </c>
      <c r="L222" s="19">
        <f t="shared" si="2"/>
        <v>287562</v>
      </c>
      <c r="M222" s="8"/>
      <c r="N222" s="271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49062</v>
      </c>
      <c r="G223" s="18">
        <v>25851</v>
      </c>
      <c r="H223" s="18">
        <v>630</v>
      </c>
      <c r="I223" s="18">
        <v>3851</v>
      </c>
      <c r="J223" s="18">
        <v>1487</v>
      </c>
      <c r="K223" s="18">
        <v>637</v>
      </c>
      <c r="L223" s="19">
        <f t="shared" si="2"/>
        <v>81518</v>
      </c>
      <c r="M223" s="8"/>
      <c r="N223" s="271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118862</v>
      </c>
      <c r="G224" s="18">
        <v>65947</v>
      </c>
      <c r="H224" s="18">
        <v>201172</v>
      </c>
      <c r="I224" s="18">
        <f>288+86100</f>
        <v>86388</v>
      </c>
      <c r="J224" s="18">
        <v>11550</v>
      </c>
      <c r="K224" s="18"/>
      <c r="L224" s="19">
        <f t="shared" si="2"/>
        <v>483919</v>
      </c>
      <c r="M224" s="8"/>
      <c r="N224" s="271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191761</v>
      </c>
      <c r="I225" s="18"/>
      <c r="J225" s="18"/>
      <c r="K225" s="18"/>
      <c r="L225" s="19">
        <f t="shared" si="2"/>
        <v>191761</v>
      </c>
      <c r="M225" s="8"/>
      <c r="N225" s="271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31895</v>
      </c>
      <c r="G226" s="18">
        <v>12269</v>
      </c>
      <c r="H226" s="18">
        <f>251+3871</f>
        <v>4122</v>
      </c>
      <c r="I226" s="18">
        <v>127</v>
      </c>
      <c r="J226" s="18"/>
      <c r="K226" s="18">
        <v>1407</v>
      </c>
      <c r="L226" s="19">
        <f>SUM(F226:K226)</f>
        <v>49820</v>
      </c>
      <c r="M226" s="8"/>
      <c r="N226" s="271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1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2190919</v>
      </c>
      <c r="G228" s="41">
        <f>SUM(G214:G227)</f>
        <v>976931</v>
      </c>
      <c r="H228" s="41">
        <f>SUM(H214:H227)</f>
        <v>615487</v>
      </c>
      <c r="I228" s="41">
        <f>SUM(I214:I227)</f>
        <v>173980</v>
      </c>
      <c r="J228" s="41">
        <f>SUM(J214:J227)</f>
        <v>60199</v>
      </c>
      <c r="K228" s="41">
        <f t="shared" si="3"/>
        <v>12682</v>
      </c>
      <c r="L228" s="41">
        <f t="shared" si="3"/>
        <v>4030198</v>
      </c>
      <c r="M228" s="8"/>
      <c r="N228" s="271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7"/>
      <c r="M229" s="8"/>
      <c r="N229" s="271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1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1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1297383</v>
      </c>
      <c r="G232" s="18">
        <v>590808</v>
      </c>
      <c r="H232" s="18">
        <v>9291</v>
      </c>
      <c r="I232" s="18">
        <v>104068</v>
      </c>
      <c r="J232" s="18">
        <v>59524</v>
      </c>
      <c r="K232" s="18">
        <v>1163</v>
      </c>
      <c r="L232" s="19">
        <f>SUM(F232:K232)</f>
        <v>2062237</v>
      </c>
      <c r="M232" s="8"/>
      <c r="N232" s="271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224332</v>
      </c>
      <c r="G233" s="18">
        <v>63275</v>
      </c>
      <c r="H233" s="18">
        <v>253001</v>
      </c>
      <c r="I233" s="18">
        <v>1668</v>
      </c>
      <c r="J233" s="18"/>
      <c r="K233" s="18">
        <v>1214</v>
      </c>
      <c r="L233" s="19">
        <f>SUM(F233:K233)</f>
        <v>543490</v>
      </c>
      <c r="M233" s="8"/>
      <c r="N233" s="271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96111</v>
      </c>
      <c r="G234" s="18">
        <v>30107</v>
      </c>
      <c r="H234" s="18">
        <v>6371</v>
      </c>
      <c r="I234" s="18">
        <v>5308</v>
      </c>
      <c r="J234" s="18">
        <v>3824</v>
      </c>
      <c r="K234" s="18">
        <v>3253</v>
      </c>
      <c r="L234" s="19">
        <f>SUM(F234:K234)</f>
        <v>144974</v>
      </c>
      <c r="M234" s="8"/>
      <c r="N234" s="271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81114</v>
      </c>
      <c r="G235" s="18">
        <v>10375</v>
      </c>
      <c r="H235" s="18">
        <v>33292</v>
      </c>
      <c r="I235" s="18">
        <v>15141</v>
      </c>
      <c r="J235" s="18">
        <v>50980</v>
      </c>
      <c r="K235" s="18">
        <v>7071</v>
      </c>
      <c r="L235" s="19">
        <f>SUM(F235:K235)</f>
        <v>197973</v>
      </c>
      <c r="M235" s="8"/>
      <c r="N235" s="271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1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6419+209996</f>
        <v>216415</v>
      </c>
      <c r="G237" s="18">
        <f>586+76602</f>
        <v>77188</v>
      </c>
      <c r="H237" s="18">
        <v>55265</v>
      </c>
      <c r="I237" s="18">
        <v>2932</v>
      </c>
      <c r="J237" s="18">
        <v>976</v>
      </c>
      <c r="K237" s="18">
        <v>551</v>
      </c>
      <c r="L237" s="19">
        <f t="shared" ref="L237:L243" si="4">SUM(F237:K237)</f>
        <v>353327</v>
      </c>
      <c r="M237" s="8"/>
      <c r="N237" s="271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51233</v>
      </c>
      <c r="G238" s="18">
        <v>35346</v>
      </c>
      <c r="H238" s="18">
        <v>-34</v>
      </c>
      <c r="I238" s="18">
        <v>3372</v>
      </c>
      <c r="J238" s="18">
        <v>-54</v>
      </c>
      <c r="K238" s="18"/>
      <c r="L238" s="19">
        <f t="shared" si="4"/>
        <v>89863</v>
      </c>
      <c r="M238" s="8"/>
      <c r="N238" s="271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85749+2162</f>
        <v>87911</v>
      </c>
      <c r="G239" s="18">
        <f>33181+196</f>
        <v>33377</v>
      </c>
      <c r="H239" s="18">
        <f>11957+52775</f>
        <v>64732</v>
      </c>
      <c r="I239" s="18">
        <f>1099+1130</f>
        <v>2229</v>
      </c>
      <c r="J239" s="18">
        <v>2114</v>
      </c>
      <c r="K239" s="18">
        <f>1764+3555</f>
        <v>5319</v>
      </c>
      <c r="L239" s="19">
        <f t="shared" si="4"/>
        <v>195682</v>
      </c>
      <c r="M239" s="8"/>
      <c r="N239" s="271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263072</v>
      </c>
      <c r="G240" s="18">
        <v>83990</v>
      </c>
      <c r="H240" s="18">
        <v>25544</v>
      </c>
      <c r="I240" s="18">
        <v>5268</v>
      </c>
      <c r="J240" s="18">
        <v>3175</v>
      </c>
      <c r="K240" s="18">
        <v>12602</v>
      </c>
      <c r="L240" s="19">
        <f t="shared" si="4"/>
        <v>393651</v>
      </c>
      <c r="M240" s="8"/>
      <c r="N240" s="271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49063</v>
      </c>
      <c r="G241" s="18">
        <v>25851</v>
      </c>
      <c r="H241" s="18">
        <v>630</v>
      </c>
      <c r="I241" s="18">
        <v>3851</v>
      </c>
      <c r="J241" s="18">
        <v>1487</v>
      </c>
      <c r="K241" s="18">
        <v>637</v>
      </c>
      <c r="L241" s="19">
        <f t="shared" si="4"/>
        <v>81519</v>
      </c>
      <c r="M241" s="8"/>
      <c r="N241" s="271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132266</v>
      </c>
      <c r="G242" s="18">
        <v>81389</v>
      </c>
      <c r="H242" s="18">
        <v>172871</v>
      </c>
      <c r="I242" s="18">
        <f>288+117970</f>
        <v>118258</v>
      </c>
      <c r="J242" s="18">
        <v>36159</v>
      </c>
      <c r="K242" s="18"/>
      <c r="L242" s="19">
        <f t="shared" si="4"/>
        <v>540943</v>
      </c>
      <c r="M242" s="8"/>
      <c r="N242" s="271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306786</v>
      </c>
      <c r="I243" s="18"/>
      <c r="J243" s="18"/>
      <c r="K243" s="18"/>
      <c r="L243" s="19">
        <f t="shared" si="4"/>
        <v>306786</v>
      </c>
      <c r="M243" s="8"/>
      <c r="N243" s="271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31907</v>
      </c>
      <c r="G244" s="18">
        <v>12274</v>
      </c>
      <c r="H244" s="18">
        <f>251+3776</f>
        <v>4027</v>
      </c>
      <c r="I244" s="18">
        <v>122</v>
      </c>
      <c r="J244" s="18"/>
      <c r="K244" s="18">
        <v>1437</v>
      </c>
      <c r="L244" s="19">
        <f>SUM(F244:K244)</f>
        <v>49767</v>
      </c>
      <c r="M244" s="8"/>
      <c r="N244" s="271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1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2530807</v>
      </c>
      <c r="G246" s="41">
        <f t="shared" si="5"/>
        <v>1043980</v>
      </c>
      <c r="H246" s="41">
        <f t="shared" si="5"/>
        <v>931776</v>
      </c>
      <c r="I246" s="41">
        <f t="shared" si="5"/>
        <v>262217</v>
      </c>
      <c r="J246" s="41">
        <f t="shared" si="5"/>
        <v>158185</v>
      </c>
      <c r="K246" s="41">
        <f t="shared" si="5"/>
        <v>33247</v>
      </c>
      <c r="L246" s="41">
        <f t="shared" si="5"/>
        <v>4960212</v>
      </c>
      <c r="M246" s="8"/>
      <c r="N246" s="271"/>
    </row>
    <row r="247" spans="1:14" s="3" customFormat="1" ht="12" customHeight="1" x14ac:dyDescent="0.15">
      <c r="A247" s="70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7"/>
      <c r="M247" s="8"/>
      <c r="N247" s="271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1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1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1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1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7129223</v>
      </c>
      <c r="G256" s="41">
        <f t="shared" si="8"/>
        <v>2991091</v>
      </c>
      <c r="H256" s="41">
        <f t="shared" si="8"/>
        <v>2152290</v>
      </c>
      <c r="I256" s="41">
        <f t="shared" si="8"/>
        <v>689844</v>
      </c>
      <c r="J256" s="41">
        <f t="shared" si="8"/>
        <v>273497</v>
      </c>
      <c r="K256" s="41">
        <f t="shared" si="8"/>
        <v>55994</v>
      </c>
      <c r="L256" s="41">
        <f t="shared" si="8"/>
        <v>13291939</v>
      </c>
      <c r="M256" s="8"/>
      <c r="N256" s="271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1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1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1480000</v>
      </c>
      <c r="L259" s="19">
        <f>SUM(F259:K259)</f>
        <v>1480000</v>
      </c>
      <c r="M259" s="8"/>
      <c r="N259" s="271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1153460</v>
      </c>
      <c r="L260" s="19">
        <f>SUM(F260:K260)</f>
        <v>1153460</v>
      </c>
      <c r="N260" s="269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69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8875</v>
      </c>
      <c r="L262" s="19">
        <f>SUM(F262:K262)</f>
        <v>8875</v>
      </c>
      <c r="N262" s="269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69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1352</v>
      </c>
      <c r="L264" s="19">
        <f t="shared" si="9"/>
        <v>1352</v>
      </c>
      <c r="N264" s="269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  <c r="N265" s="269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69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69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69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2693687</v>
      </c>
      <c r="L269" s="41">
        <f t="shared" si="9"/>
        <v>2693687</v>
      </c>
      <c r="N269" s="269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7129223</v>
      </c>
      <c r="G270" s="42">
        <f t="shared" si="11"/>
        <v>2991091</v>
      </c>
      <c r="H270" s="42">
        <f t="shared" si="11"/>
        <v>2152290</v>
      </c>
      <c r="I270" s="42">
        <f t="shared" si="11"/>
        <v>689844</v>
      </c>
      <c r="J270" s="42">
        <f t="shared" si="11"/>
        <v>273497</v>
      </c>
      <c r="K270" s="42">
        <f t="shared" si="11"/>
        <v>2749681</v>
      </c>
      <c r="L270" s="42">
        <f t="shared" si="11"/>
        <v>15985626</v>
      </c>
      <c r="M270" s="8"/>
      <c r="N270" s="271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1"/>
    </row>
    <row r="272" spans="1:14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  <c r="N272" s="271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1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1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25492+54601</f>
        <v>80093</v>
      </c>
      <c r="G275" s="18">
        <f>7100+9168</f>
        <v>16268</v>
      </c>
      <c r="H275" s="18">
        <f>13083+3496</f>
        <v>16579</v>
      </c>
      <c r="I275" s="18">
        <f>1492+1257</f>
        <v>2749</v>
      </c>
      <c r="J275" s="18">
        <f>841+6359</f>
        <v>7200</v>
      </c>
      <c r="K275" s="18">
        <f>1386</f>
        <v>1386</v>
      </c>
      <c r="L275" s="19">
        <f>SUM(F275:K275)</f>
        <v>124275</v>
      </c>
      <c r="M275" s="8"/>
      <c r="N275" s="271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50560</v>
      </c>
      <c r="G276" s="18">
        <v>22182</v>
      </c>
      <c r="H276" s="18">
        <v>770</v>
      </c>
      <c r="I276" s="18">
        <v>7458</v>
      </c>
      <c r="J276" s="18">
        <v>24113</v>
      </c>
      <c r="K276" s="18"/>
      <c r="L276" s="19">
        <f>SUM(F276:K276)</f>
        <v>105083</v>
      </c>
      <c r="M276" s="8"/>
      <c r="N276" s="271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1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1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3464+1000</f>
        <v>4464</v>
      </c>
      <c r="G280" s="18">
        <f>3127+189</f>
        <v>3316</v>
      </c>
      <c r="H280" s="18"/>
      <c r="I280" s="18">
        <v>1647</v>
      </c>
      <c r="J280" s="18"/>
      <c r="K280" s="18"/>
      <c r="L280" s="19">
        <f t="shared" ref="L280:L286" si="12">SUM(F280:K280)</f>
        <v>9427</v>
      </c>
      <c r="M280" s="8"/>
      <c r="N280" s="271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23738</v>
      </c>
      <c r="I281" s="18">
        <v>4168</v>
      </c>
      <c r="J281" s="18"/>
      <c r="K281" s="18"/>
      <c r="L281" s="19">
        <f t="shared" si="12"/>
        <v>27906</v>
      </c>
      <c r="M281" s="8"/>
      <c r="N281" s="271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18686</v>
      </c>
      <c r="G282" s="18">
        <v>5680</v>
      </c>
      <c r="H282" s="18">
        <v>-34</v>
      </c>
      <c r="I282" s="18">
        <v>1832</v>
      </c>
      <c r="J282" s="18"/>
      <c r="K282" s="18"/>
      <c r="L282" s="19">
        <f t="shared" si="12"/>
        <v>26164</v>
      </c>
      <c r="M282" s="8"/>
      <c r="N282" s="271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1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268</v>
      </c>
      <c r="I286" s="18"/>
      <c r="J286" s="18"/>
      <c r="K286" s="18"/>
      <c r="L286" s="19">
        <f t="shared" si="12"/>
        <v>268</v>
      </c>
      <c r="M286" s="8"/>
      <c r="N286" s="271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1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1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153803</v>
      </c>
      <c r="G289" s="42">
        <f t="shared" si="13"/>
        <v>47446</v>
      </c>
      <c r="H289" s="42">
        <f t="shared" si="13"/>
        <v>41321</v>
      </c>
      <c r="I289" s="42">
        <f t="shared" si="13"/>
        <v>17854</v>
      </c>
      <c r="J289" s="42">
        <f t="shared" si="13"/>
        <v>31313</v>
      </c>
      <c r="K289" s="42">
        <f t="shared" si="13"/>
        <v>1386</v>
      </c>
      <c r="L289" s="41">
        <f t="shared" si="13"/>
        <v>293123</v>
      </c>
      <c r="M289" s="8"/>
      <c r="N289" s="271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1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  <c r="N291" s="271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1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1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25492+54601</f>
        <v>80093</v>
      </c>
      <c r="G294" s="18">
        <f>7100+9168</f>
        <v>16268</v>
      </c>
      <c r="H294" s="18">
        <f>13083+3496</f>
        <v>16579</v>
      </c>
      <c r="I294" s="18">
        <f>1492+1257</f>
        <v>2749</v>
      </c>
      <c r="J294" s="18">
        <f>841+6359</f>
        <v>7200</v>
      </c>
      <c r="K294" s="18">
        <v>1386</v>
      </c>
      <c r="L294" s="19">
        <f>SUM(F294:K294)</f>
        <v>124275</v>
      </c>
      <c r="M294" s="8"/>
      <c r="N294" s="271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50560</v>
      </c>
      <c r="G295" s="18">
        <v>22182</v>
      </c>
      <c r="H295" s="18">
        <v>770</v>
      </c>
      <c r="I295" s="18">
        <v>7458</v>
      </c>
      <c r="J295" s="18">
        <v>24113</v>
      </c>
      <c r="K295" s="18"/>
      <c r="L295" s="19">
        <f>SUM(F295:K295)</f>
        <v>105083</v>
      </c>
      <c r="M295" s="8"/>
      <c r="N295" s="271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1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1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f>3464+1000</f>
        <v>4464</v>
      </c>
      <c r="G299" s="18">
        <f>3127+189</f>
        <v>3316</v>
      </c>
      <c r="H299" s="18"/>
      <c r="I299" s="18">
        <f>1647</f>
        <v>1647</v>
      </c>
      <c r="J299" s="18"/>
      <c r="K299" s="18"/>
      <c r="L299" s="19">
        <f t="shared" ref="L299:L305" si="14">SUM(F299:K299)</f>
        <v>9427</v>
      </c>
      <c r="M299" s="8"/>
      <c r="N299" s="271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v>23738</v>
      </c>
      <c r="I300" s="18">
        <v>4168</v>
      </c>
      <c r="J300" s="18"/>
      <c r="K300" s="18"/>
      <c r="L300" s="19">
        <f t="shared" si="14"/>
        <v>27906</v>
      </c>
      <c r="M300" s="8"/>
      <c r="N300" s="271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f>18686</f>
        <v>18686</v>
      </c>
      <c r="G301" s="18">
        <v>5680</v>
      </c>
      <c r="H301" s="18">
        <v>-34</v>
      </c>
      <c r="I301" s="18">
        <v>1832</v>
      </c>
      <c r="J301" s="18"/>
      <c r="K301" s="18"/>
      <c r="L301" s="19">
        <f t="shared" si="14"/>
        <v>26164</v>
      </c>
      <c r="M301" s="8"/>
      <c r="N301" s="271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812</v>
      </c>
      <c r="I305" s="18"/>
      <c r="J305" s="18"/>
      <c r="K305" s="18"/>
      <c r="L305" s="19">
        <f t="shared" si="14"/>
        <v>812</v>
      </c>
      <c r="M305" s="8"/>
      <c r="N305" s="271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1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1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153803</v>
      </c>
      <c r="G308" s="42">
        <f t="shared" si="15"/>
        <v>47446</v>
      </c>
      <c r="H308" s="42">
        <f t="shared" si="15"/>
        <v>41865</v>
      </c>
      <c r="I308" s="42">
        <f t="shared" si="15"/>
        <v>17854</v>
      </c>
      <c r="J308" s="42">
        <f t="shared" si="15"/>
        <v>31313</v>
      </c>
      <c r="K308" s="42">
        <f t="shared" si="15"/>
        <v>1386</v>
      </c>
      <c r="L308" s="41">
        <f t="shared" si="15"/>
        <v>293667</v>
      </c>
      <c r="N308" s="269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1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  <c r="N310" s="271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1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1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2172+667</f>
        <v>2839</v>
      </c>
      <c r="G313" s="18">
        <f>412+136</f>
        <v>548</v>
      </c>
      <c r="H313" s="18">
        <v>6667</v>
      </c>
      <c r="I313" s="18"/>
      <c r="J313" s="18">
        <v>6359</v>
      </c>
      <c r="K313" s="18"/>
      <c r="L313" s="19">
        <f>SUM(F313:K313)</f>
        <v>16413</v>
      </c>
      <c r="M313" s="8"/>
      <c r="N313" s="271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50560</v>
      </c>
      <c r="G314" s="18">
        <v>22182</v>
      </c>
      <c r="H314" s="18">
        <v>770</v>
      </c>
      <c r="I314" s="18">
        <v>7458</v>
      </c>
      <c r="J314" s="18">
        <v>24113</v>
      </c>
      <c r="K314" s="18"/>
      <c r="L314" s="19">
        <f>SUM(F314:K314)</f>
        <v>105083</v>
      </c>
      <c r="M314" s="8"/>
      <c r="N314" s="271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1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1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3464+1000</f>
        <v>4464</v>
      </c>
      <c r="G318" s="18">
        <f>627+189</f>
        <v>816</v>
      </c>
      <c r="H318" s="18"/>
      <c r="I318" s="18">
        <v>931</v>
      </c>
      <c r="J318" s="18"/>
      <c r="K318" s="18"/>
      <c r="L318" s="19">
        <f t="shared" ref="L318:L324" si="16">SUM(F318:K318)</f>
        <v>6211</v>
      </c>
      <c r="M318" s="8"/>
      <c r="N318" s="271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v>23738</v>
      </c>
      <c r="I319" s="18">
        <v>4168</v>
      </c>
      <c r="J319" s="18"/>
      <c r="K319" s="18"/>
      <c r="L319" s="19">
        <f t="shared" si="16"/>
        <v>27906</v>
      </c>
      <c r="M319" s="8"/>
      <c r="N319" s="271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1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1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1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57863</v>
      </c>
      <c r="G327" s="42">
        <f t="shared" si="17"/>
        <v>23546</v>
      </c>
      <c r="H327" s="42">
        <f t="shared" si="17"/>
        <v>31175</v>
      </c>
      <c r="I327" s="42">
        <f t="shared" si="17"/>
        <v>12557</v>
      </c>
      <c r="J327" s="42">
        <f t="shared" si="17"/>
        <v>30472</v>
      </c>
      <c r="K327" s="42">
        <f t="shared" si="17"/>
        <v>0</v>
      </c>
      <c r="L327" s="41">
        <f t="shared" si="17"/>
        <v>155613</v>
      </c>
      <c r="M327" s="8"/>
      <c r="N327" s="271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1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  <c r="N329" s="271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1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1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1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1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365469</v>
      </c>
      <c r="G337" s="41">
        <f t="shared" si="20"/>
        <v>118438</v>
      </c>
      <c r="H337" s="41">
        <f t="shared" si="20"/>
        <v>114361</v>
      </c>
      <c r="I337" s="41">
        <f t="shared" si="20"/>
        <v>48265</v>
      </c>
      <c r="J337" s="41">
        <f t="shared" si="20"/>
        <v>93098</v>
      </c>
      <c r="K337" s="41">
        <f t="shared" si="20"/>
        <v>2772</v>
      </c>
      <c r="L337" s="41">
        <f t="shared" si="20"/>
        <v>742403</v>
      </c>
      <c r="M337" s="8"/>
      <c r="N337" s="271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1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1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1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1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0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1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1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1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1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1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1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365469</v>
      </c>
      <c r="G351" s="41">
        <f>G337</f>
        <v>118438</v>
      </c>
      <c r="H351" s="41">
        <f>H337</f>
        <v>114361</v>
      </c>
      <c r="I351" s="41">
        <f>I337</f>
        <v>48265</v>
      </c>
      <c r="J351" s="41">
        <f>J337</f>
        <v>93098</v>
      </c>
      <c r="K351" s="47">
        <f>K337+K350</f>
        <v>2772</v>
      </c>
      <c r="L351" s="41">
        <f>L337+L350</f>
        <v>742403</v>
      </c>
      <c r="M351" s="52"/>
      <c r="N351" s="270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1"/>
    </row>
    <row r="353" spans="1:14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  <c r="N353" s="271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1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1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143519</v>
      </c>
      <c r="I357" s="18">
        <v>16549</v>
      </c>
      <c r="J357" s="18">
        <v>836</v>
      </c>
      <c r="K357" s="18"/>
      <c r="L357" s="13">
        <f>SUM(F357:K357)</f>
        <v>160904</v>
      </c>
      <c r="N357" s="269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v>143519</v>
      </c>
      <c r="I358" s="18">
        <v>19232</v>
      </c>
      <c r="J358" s="18">
        <v>836</v>
      </c>
      <c r="K358" s="18"/>
      <c r="L358" s="19">
        <f>SUM(F358:K358)</f>
        <v>163587</v>
      </c>
      <c r="M358" s="8"/>
      <c r="N358" s="271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143519</v>
      </c>
      <c r="I359" s="18">
        <v>549</v>
      </c>
      <c r="J359" s="18">
        <v>836</v>
      </c>
      <c r="K359" s="18"/>
      <c r="L359" s="19">
        <f>SUM(F359:K359)</f>
        <v>144904</v>
      </c>
      <c r="M359" s="8"/>
      <c r="N359" s="271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1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430557</v>
      </c>
      <c r="I361" s="47">
        <f t="shared" si="22"/>
        <v>36330</v>
      </c>
      <c r="J361" s="47">
        <f t="shared" si="22"/>
        <v>2508</v>
      </c>
      <c r="K361" s="47">
        <f t="shared" si="22"/>
        <v>0</v>
      </c>
      <c r="L361" s="47">
        <f t="shared" si="22"/>
        <v>469395</v>
      </c>
      <c r="M361" s="8"/>
      <c r="N361" s="271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1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1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1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16000</v>
      </c>
      <c r="G366" s="18">
        <v>18683</v>
      </c>
      <c r="H366" s="18"/>
      <c r="I366" s="56">
        <f>SUM(F366:H366)</f>
        <v>34683</v>
      </c>
      <c r="J366" s="24" t="s">
        <v>289</v>
      </c>
      <c r="K366" s="24" t="s">
        <v>289</v>
      </c>
      <c r="L366" s="24" t="s">
        <v>289</v>
      </c>
      <c r="M366" s="8"/>
      <c r="N366" s="271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549</v>
      </c>
      <c r="G367" s="63">
        <v>549</v>
      </c>
      <c r="H367" s="63">
        <v>549</v>
      </c>
      <c r="I367" s="56">
        <f>SUM(F367:H367)</f>
        <v>1647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16549</v>
      </c>
      <c r="G368" s="47">
        <f>SUM(G366:G367)</f>
        <v>19232</v>
      </c>
      <c r="H368" s="47">
        <f>SUM(H366:H367)</f>
        <v>549</v>
      </c>
      <c r="I368" s="47">
        <f>SUM(I366:I367)</f>
        <v>36330</v>
      </c>
      <c r="J368" s="24" t="s">
        <v>289</v>
      </c>
      <c r="K368" s="24" t="s">
        <v>289</v>
      </c>
      <c r="L368" s="24" t="s">
        <v>289</v>
      </c>
      <c r="M368" s="8"/>
      <c r="N368" s="271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1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  <c r="N370" s="271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1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1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1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1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1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>
        <v>236783</v>
      </c>
      <c r="K377" s="18"/>
      <c r="L377" s="13">
        <f t="shared" si="23"/>
        <v>236783</v>
      </c>
      <c r="M377" s="8"/>
      <c r="N377" s="271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1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236783</v>
      </c>
      <c r="K381" s="47">
        <f t="shared" si="24"/>
        <v>0</v>
      </c>
      <c r="L381" s="47">
        <f t="shared" si="24"/>
        <v>236783</v>
      </c>
      <c r="M381" s="8"/>
      <c r="N381" s="271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1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1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1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1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1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3227</v>
      </c>
      <c r="I391" s="18"/>
      <c r="J391" s="24" t="s">
        <v>289</v>
      </c>
      <c r="K391" s="24" t="s">
        <v>289</v>
      </c>
      <c r="L391" s="56">
        <f t="shared" si="25"/>
        <v>3227</v>
      </c>
      <c r="M391" s="8"/>
      <c r="N391" s="271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3227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3227</v>
      </c>
      <c r="M392" s="8"/>
      <c r="N392" s="271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1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1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1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50000</v>
      </c>
      <c r="H396" s="18"/>
      <c r="I396" s="18"/>
      <c r="J396" s="24" t="s">
        <v>289</v>
      </c>
      <c r="K396" s="24" t="s">
        <v>289</v>
      </c>
      <c r="L396" s="56">
        <f t="shared" si="26"/>
        <v>50000</v>
      </c>
      <c r="M396" s="8"/>
      <c r="N396" s="271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1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1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1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50000</v>
      </c>
      <c r="M400" s="8"/>
      <c r="N400" s="271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1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1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1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1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3227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53227</v>
      </c>
      <c r="M407" s="8"/>
      <c r="N407" s="271"/>
    </row>
    <row r="408" spans="1:21" s="3" customFormat="1" ht="12" customHeight="1" x14ac:dyDescent="0.15">
      <c r="A408" s="78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  <c r="N408" s="271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1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1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1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1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0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6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1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1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1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1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1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1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6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6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69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1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1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1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1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1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1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1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143893</v>
      </c>
      <c r="G439" s="18"/>
      <c r="H439" s="18"/>
      <c r="I439" s="56">
        <f t="shared" si="33"/>
        <v>143893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1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1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143893</v>
      </c>
      <c r="G445" s="13">
        <f>SUM(G438:G444)</f>
        <v>0</v>
      </c>
      <c r="H445" s="13">
        <f>SUM(H438:H444)</f>
        <v>0</v>
      </c>
      <c r="I445" s="13">
        <f>SUM(I438:I444)</f>
        <v>143893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1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1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6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0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143893</v>
      </c>
      <c r="G458" s="18"/>
      <c r="H458" s="18"/>
      <c r="I458" s="56">
        <f t="shared" si="34"/>
        <v>143893</v>
      </c>
      <c r="J458" s="24" t="s">
        <v>289</v>
      </c>
      <c r="K458" s="24" t="s">
        <v>289</v>
      </c>
      <c r="L458" s="24" t="s">
        <v>289</v>
      </c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143893</v>
      </c>
      <c r="G459" s="83">
        <f>SUM(G453:G458)</f>
        <v>0</v>
      </c>
      <c r="H459" s="83">
        <f>SUM(H453:H458)</f>
        <v>0</v>
      </c>
      <c r="I459" s="83">
        <f>SUM(I453:I458)</f>
        <v>143893</v>
      </c>
      <c r="J459" s="24" t="s">
        <v>289</v>
      </c>
      <c r="K459" s="24" t="s">
        <v>289</v>
      </c>
      <c r="L459" s="24" t="s">
        <v>289</v>
      </c>
      <c r="N459" s="270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143893</v>
      </c>
      <c r="G460" s="42">
        <f>G451+G459</f>
        <v>0</v>
      </c>
      <c r="H460" s="42">
        <f>H451+H459</f>
        <v>0</v>
      </c>
      <c r="I460" s="42">
        <f>I451+I459</f>
        <v>143893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0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0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0"/>
    </row>
    <row r="464" spans="1:23" s="52" customFormat="1" ht="12" customHeight="1" x14ac:dyDescent="0.2">
      <c r="A464" s="188" t="s">
        <v>899</v>
      </c>
      <c r="B464" s="105">
        <v>19</v>
      </c>
      <c r="C464" s="111">
        <v>1</v>
      </c>
      <c r="D464" s="2" t="s">
        <v>433</v>
      </c>
      <c r="E464" s="111"/>
      <c r="F464" s="18">
        <f>1176847</f>
        <v>1176847</v>
      </c>
      <c r="G464" s="18">
        <v>17581</v>
      </c>
      <c r="H464" s="18">
        <v>9337</v>
      </c>
      <c r="I464" s="18">
        <v>235322</v>
      </c>
      <c r="J464" s="18">
        <v>90710</v>
      </c>
      <c r="K464" s="24" t="s">
        <v>289</v>
      </c>
      <c r="L464" s="24" t="s">
        <v>289</v>
      </c>
      <c r="N464" s="270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15778446</v>
      </c>
      <c r="G467" s="18">
        <v>469394</v>
      </c>
      <c r="H467" s="18">
        <v>743330</v>
      </c>
      <c r="I467" s="18">
        <v>1461</v>
      </c>
      <c r="J467" s="18">
        <f>3227+50000</f>
        <v>53227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6</v>
      </c>
      <c r="H468" s="18">
        <v>17</v>
      </c>
      <c r="I468" s="18"/>
      <c r="J468" s="18">
        <f>50000-50000</f>
        <v>0</v>
      </c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15778446</v>
      </c>
      <c r="G469" s="53">
        <f>SUM(G467:G468)</f>
        <v>469400</v>
      </c>
      <c r="H469" s="53">
        <f>SUM(H467:H468)</f>
        <v>743347</v>
      </c>
      <c r="I469" s="53">
        <f>SUM(I467:I468)</f>
        <v>1461</v>
      </c>
      <c r="J469" s="53">
        <f>SUM(J467:J468)</f>
        <v>53227</v>
      </c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15935626+50000</f>
        <v>15985626</v>
      </c>
      <c r="G471" s="18">
        <v>469395</v>
      </c>
      <c r="H471" s="18">
        <v>742403</v>
      </c>
      <c r="I471" s="18">
        <v>236783</v>
      </c>
      <c r="J471" s="18"/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f>94816-50000</f>
        <v>44816</v>
      </c>
      <c r="G472" s="18">
        <v>15</v>
      </c>
      <c r="H472" s="18"/>
      <c r="I472" s="18"/>
      <c r="J472" s="18">
        <v>44</v>
      </c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16030442</v>
      </c>
      <c r="G473" s="53">
        <f>SUM(G471:G472)</f>
        <v>469410</v>
      </c>
      <c r="H473" s="53">
        <f>SUM(H471:H472)</f>
        <v>742403</v>
      </c>
      <c r="I473" s="53">
        <f>SUM(I471:I472)</f>
        <v>236783</v>
      </c>
      <c r="J473" s="53">
        <f>SUM(J471:J472)</f>
        <v>44</v>
      </c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189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924851</v>
      </c>
      <c r="G475" s="53">
        <f>(G464+G469)- G473</f>
        <v>17571</v>
      </c>
      <c r="H475" s="53">
        <f>(H464+H469)- H473</f>
        <v>10281</v>
      </c>
      <c r="I475" s="53">
        <f>(I464+I469)- I473</f>
        <v>0</v>
      </c>
      <c r="J475" s="53">
        <f>(J464+J469)- J473</f>
        <v>143893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0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0"/>
    </row>
    <row r="479" spans="1:14" s="52" customFormat="1" ht="12" customHeight="1" x14ac:dyDescent="0.2">
      <c r="A479" s="18" t="s">
        <v>912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0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0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0"/>
    </row>
    <row r="482" spans="1:14" s="52" customFormat="1" ht="12" customHeight="1" x14ac:dyDescent="0.2">
      <c r="A482" s="174" t="s">
        <v>913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0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0"/>
    </row>
    <row r="484" spans="1:14" s="52" customFormat="1" ht="12" customHeight="1" x14ac:dyDescent="0.2">
      <c r="A484" s="174" t="s">
        <v>911</v>
      </c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0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0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0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0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0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16</v>
      </c>
      <c r="G489" s="154"/>
      <c r="H489" s="154"/>
      <c r="I489" s="154"/>
      <c r="J489" s="154"/>
      <c r="K489" s="24" t="s">
        <v>289</v>
      </c>
      <c r="L489" s="24" t="s">
        <v>289</v>
      </c>
      <c r="N489" s="270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23623315</v>
      </c>
      <c r="G492" s="18"/>
      <c r="H492" s="18"/>
      <c r="I492" s="18"/>
      <c r="J492" s="18"/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5.39</v>
      </c>
      <c r="G493" s="18"/>
      <c r="H493" s="18"/>
      <c r="I493" s="18"/>
      <c r="J493" s="18"/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f>23623315-1483315</f>
        <v>22140000</v>
      </c>
      <c r="G494" s="18"/>
      <c r="H494" s="18"/>
      <c r="I494" s="18"/>
      <c r="J494" s="18"/>
      <c r="K494" s="53">
        <f>SUM(F494:J494)</f>
        <v>22140000</v>
      </c>
      <c r="L494" s="24" t="s">
        <v>289</v>
      </c>
      <c r="N494" s="270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0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14800000</v>
      </c>
      <c r="G496" s="18"/>
      <c r="H496" s="18"/>
      <c r="I496" s="18"/>
      <c r="J496" s="18"/>
      <c r="K496" s="53">
        <f t="shared" si="35"/>
        <v>14800000</v>
      </c>
      <c r="L496" s="24" t="s">
        <v>289</v>
      </c>
      <c r="N496" s="270"/>
    </row>
    <row r="497" spans="1:14" s="52" customFormat="1" ht="12" customHeight="1" x14ac:dyDescent="0.2">
      <c r="A497" s="199" t="s">
        <v>626</v>
      </c>
      <c r="B497" s="200">
        <v>20</v>
      </c>
      <c r="C497" s="201">
        <v>9</v>
      </c>
      <c r="D497" s="202" t="s">
        <v>433</v>
      </c>
      <c r="E497" s="201"/>
      <c r="F497" s="203">
        <f>22140000-1480000</f>
        <v>20660000</v>
      </c>
      <c r="G497" s="203"/>
      <c r="H497" s="203"/>
      <c r="I497" s="203"/>
      <c r="J497" s="203"/>
      <c r="K497" s="204">
        <f t="shared" si="35"/>
        <v>20660000</v>
      </c>
      <c r="L497" s="205" t="s">
        <v>289</v>
      </c>
      <c r="N497" s="270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11084021-905455-636648-596673-596673-556787</f>
        <v>7791785</v>
      </c>
      <c r="G498" s="18"/>
      <c r="H498" s="18"/>
      <c r="I498" s="18"/>
      <c r="J498" s="18"/>
      <c r="K498" s="53">
        <f t="shared" si="35"/>
        <v>7791785</v>
      </c>
      <c r="L498" s="24" t="s">
        <v>289</v>
      </c>
      <c r="N498" s="270"/>
    </row>
    <row r="499" spans="1:14" s="52" customFormat="1" ht="12" customHeight="1" thickTop="1" x14ac:dyDescent="0.2">
      <c r="A499" s="139" t="s">
        <v>628</v>
      </c>
      <c r="B499" s="44">
        <v>20</v>
      </c>
      <c r="C499" s="194">
        <v>11</v>
      </c>
      <c r="D499" s="39" t="s">
        <v>433</v>
      </c>
      <c r="E499" s="194"/>
      <c r="F499" s="42">
        <f>SUM(F497:F498)</f>
        <v>28451785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28451785</v>
      </c>
      <c r="L499" s="45" t="s">
        <v>289</v>
      </c>
      <c r="N499" s="270"/>
    </row>
    <row r="500" spans="1:14" s="52" customFormat="1" ht="12" customHeight="1" x14ac:dyDescent="0.2">
      <c r="A500" s="199" t="s">
        <v>655</v>
      </c>
      <c r="B500" s="200">
        <v>20</v>
      </c>
      <c r="C500" s="201">
        <v>12</v>
      </c>
      <c r="D500" s="202" t="s">
        <v>433</v>
      </c>
      <c r="E500" s="201"/>
      <c r="F500" s="203">
        <v>1480000</v>
      </c>
      <c r="G500" s="203"/>
      <c r="H500" s="203"/>
      <c r="I500" s="203"/>
      <c r="J500" s="203"/>
      <c r="K500" s="204">
        <f t="shared" si="35"/>
        <v>1480000</v>
      </c>
      <c r="L500" s="205" t="s">
        <v>289</v>
      </c>
      <c r="N500" s="270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556787+516901</f>
        <v>1073688</v>
      </c>
      <c r="G501" s="18"/>
      <c r="H501" s="18"/>
      <c r="I501" s="18"/>
      <c r="J501" s="18"/>
      <c r="K501" s="53">
        <f t="shared" si="35"/>
        <v>1073688</v>
      </c>
      <c r="L501" s="24" t="s">
        <v>289</v>
      </c>
      <c r="N501" s="270"/>
    </row>
    <row r="502" spans="1:14" s="52" customFormat="1" ht="12" customHeight="1" thickTop="1" x14ac:dyDescent="0.2">
      <c r="A502" s="139" t="s">
        <v>630</v>
      </c>
      <c r="B502" s="44">
        <v>20</v>
      </c>
      <c r="C502" s="194">
        <v>14</v>
      </c>
      <c r="D502" s="39" t="s">
        <v>433</v>
      </c>
      <c r="E502" s="194"/>
      <c r="F502" s="42">
        <f>SUM(F500:F501)</f>
        <v>2553688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2553688</v>
      </c>
      <c r="L502" s="45" t="s">
        <v>289</v>
      </c>
      <c r="N502" s="270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0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0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0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0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0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0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6"/>
      <c r="N517" s="270"/>
    </row>
    <row r="518" spans="1:14" s="52" customFormat="1" ht="12" customHeight="1" x14ac:dyDescent="0.2">
      <c r="A518" s="177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0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0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301646</v>
      </c>
      <c r="G520" s="18">
        <v>83603</v>
      </c>
      <c r="H520" s="18">
        <v>64895</v>
      </c>
      <c r="I520" s="18">
        <v>8419</v>
      </c>
      <c r="J520" s="18">
        <v>25722</v>
      </c>
      <c r="K520" s="18">
        <v>150</v>
      </c>
      <c r="L520" s="88">
        <f>SUM(F520:K520)</f>
        <v>484435</v>
      </c>
      <c r="N520" s="270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274493</v>
      </c>
      <c r="G521" s="18">
        <v>84570</v>
      </c>
      <c r="H521" s="18">
        <v>89012</v>
      </c>
      <c r="I521" s="18">
        <v>7796</v>
      </c>
      <c r="J521" s="18">
        <v>24587</v>
      </c>
      <c r="K521" s="18">
        <v>1385</v>
      </c>
      <c r="L521" s="88">
        <f>SUM(F521:K521)</f>
        <v>481843</v>
      </c>
      <c r="N521" s="270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274804</v>
      </c>
      <c r="G522" s="18">
        <v>85449</v>
      </c>
      <c r="H522" s="18">
        <v>253770</v>
      </c>
      <c r="I522" s="18">
        <v>9126</v>
      </c>
      <c r="J522" s="18">
        <v>24112</v>
      </c>
      <c r="K522" s="18">
        <v>1214</v>
      </c>
      <c r="L522" s="88">
        <f>SUM(F522:K522)</f>
        <v>648475</v>
      </c>
      <c r="N522" s="270"/>
    </row>
    <row r="523" spans="1:14" s="52" customFormat="1" ht="12" customHeight="1" thickTop="1" x14ac:dyDescent="0.2">
      <c r="A523" s="139" t="s">
        <v>63</v>
      </c>
      <c r="B523" s="107">
        <v>21</v>
      </c>
      <c r="C523" s="194">
        <v>4</v>
      </c>
      <c r="D523" s="195" t="s">
        <v>433</v>
      </c>
      <c r="E523" s="194"/>
      <c r="F523" s="108">
        <f>SUM(F520:F522)</f>
        <v>850943</v>
      </c>
      <c r="G523" s="108">
        <f t="shared" ref="G523:L523" si="36">SUM(G520:G522)</f>
        <v>253622</v>
      </c>
      <c r="H523" s="108">
        <f t="shared" si="36"/>
        <v>407677</v>
      </c>
      <c r="I523" s="108">
        <f t="shared" si="36"/>
        <v>25341</v>
      </c>
      <c r="J523" s="108">
        <f t="shared" si="36"/>
        <v>74421</v>
      </c>
      <c r="K523" s="108">
        <f t="shared" si="36"/>
        <v>2749</v>
      </c>
      <c r="L523" s="89">
        <f t="shared" si="36"/>
        <v>1614753</v>
      </c>
      <c r="N523" s="270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0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38019</v>
      </c>
      <c r="G525" s="18">
        <v>11022</v>
      </c>
      <c r="H525" s="18">
        <v>123144</v>
      </c>
      <c r="I525" s="18">
        <v>112</v>
      </c>
      <c r="J525" s="18"/>
      <c r="K525" s="18"/>
      <c r="L525" s="88">
        <f>SUM(F525:K525)</f>
        <v>172297</v>
      </c>
      <c r="M525" s="8"/>
      <c r="N525" s="271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37448</v>
      </c>
      <c r="G526" s="18">
        <v>10851</v>
      </c>
      <c r="H526" s="18">
        <v>39316</v>
      </c>
      <c r="I526" s="18">
        <v>404</v>
      </c>
      <c r="J526" s="18"/>
      <c r="K526" s="18"/>
      <c r="L526" s="88">
        <f>SUM(F526:K526)</f>
        <v>88019</v>
      </c>
      <c r="M526" s="8"/>
      <c r="N526" s="271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37789</v>
      </c>
      <c r="G527" s="18">
        <v>10970</v>
      </c>
      <c r="H527" s="18">
        <v>45161</v>
      </c>
      <c r="I527" s="18">
        <v>149</v>
      </c>
      <c r="J527" s="18"/>
      <c r="K527" s="18"/>
      <c r="L527" s="88">
        <f>SUM(F527:K527)</f>
        <v>94069</v>
      </c>
      <c r="M527" s="8"/>
      <c r="N527" s="271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113256</v>
      </c>
      <c r="G528" s="89">
        <f t="shared" ref="G528:L528" si="37">SUM(G525:G527)</f>
        <v>32843</v>
      </c>
      <c r="H528" s="89">
        <f t="shared" si="37"/>
        <v>207621</v>
      </c>
      <c r="I528" s="89">
        <f t="shared" si="37"/>
        <v>665</v>
      </c>
      <c r="J528" s="89">
        <f t="shared" si="37"/>
        <v>0</v>
      </c>
      <c r="K528" s="89">
        <f t="shared" si="37"/>
        <v>0</v>
      </c>
      <c r="L528" s="89">
        <f t="shared" si="37"/>
        <v>354385</v>
      </c>
      <c r="M528" s="8"/>
      <c r="N528" s="271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1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35563</v>
      </c>
      <c r="G530" s="18">
        <v>17901</v>
      </c>
      <c r="H530" s="18">
        <v>7393</v>
      </c>
      <c r="I530" s="18">
        <v>838</v>
      </c>
      <c r="J530" s="18">
        <v>1422</v>
      </c>
      <c r="K530" s="18">
        <v>707</v>
      </c>
      <c r="L530" s="88">
        <f>SUM(F530:K530)</f>
        <v>63824</v>
      </c>
      <c r="M530" s="8"/>
      <c r="N530" s="271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35563</v>
      </c>
      <c r="G531" s="18">
        <v>17900</v>
      </c>
      <c r="H531" s="18">
        <v>6657</v>
      </c>
      <c r="I531" s="18">
        <v>839</v>
      </c>
      <c r="J531" s="18">
        <f>1422</f>
        <v>1422</v>
      </c>
      <c r="K531" s="18">
        <f>707</f>
        <v>707</v>
      </c>
      <c r="L531" s="88">
        <f>SUM(F531:K531)</f>
        <v>63088</v>
      </c>
      <c r="M531" s="8"/>
      <c r="N531" s="271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35563</v>
      </c>
      <c r="G532" s="18">
        <v>17900</v>
      </c>
      <c r="H532" s="18">
        <v>6656</v>
      </c>
      <c r="I532" s="18">
        <v>838</v>
      </c>
      <c r="J532" s="18">
        <v>1423</v>
      </c>
      <c r="K532" s="18">
        <v>707</v>
      </c>
      <c r="L532" s="88">
        <f>SUM(F532:K532)</f>
        <v>63087</v>
      </c>
      <c r="M532" s="8"/>
      <c r="N532" s="271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106689</v>
      </c>
      <c r="G533" s="89">
        <f t="shared" ref="G533:L533" si="38">SUM(G530:G532)</f>
        <v>53701</v>
      </c>
      <c r="H533" s="89">
        <f t="shared" si="38"/>
        <v>20706</v>
      </c>
      <c r="I533" s="89">
        <f t="shared" si="38"/>
        <v>2515</v>
      </c>
      <c r="J533" s="89">
        <f t="shared" si="38"/>
        <v>4267</v>
      </c>
      <c r="K533" s="89">
        <f t="shared" si="38"/>
        <v>2121</v>
      </c>
      <c r="L533" s="89">
        <f t="shared" si="38"/>
        <v>189999</v>
      </c>
      <c r="M533" s="8"/>
      <c r="N533" s="271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3" t="s">
        <v>289</v>
      </c>
      <c r="G534" s="193" t="s">
        <v>289</v>
      </c>
      <c r="H534" s="193" t="s">
        <v>289</v>
      </c>
      <c r="I534" s="193" t="s">
        <v>289</v>
      </c>
      <c r="J534" s="193" t="s">
        <v>289</v>
      </c>
      <c r="K534" s="193" t="s">
        <v>289</v>
      </c>
      <c r="L534" s="193" t="s">
        <v>289</v>
      </c>
      <c r="M534" s="8"/>
      <c r="N534" s="271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245</v>
      </c>
      <c r="I535" s="18"/>
      <c r="J535" s="18"/>
      <c r="K535" s="18"/>
      <c r="L535" s="88">
        <f>SUM(F535:K535)</f>
        <v>245</v>
      </c>
      <c r="M535" s="8"/>
      <c r="N535" s="271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245</v>
      </c>
      <c r="I536" s="18"/>
      <c r="J536" s="18"/>
      <c r="K536" s="18"/>
      <c r="L536" s="88">
        <f>SUM(F536:K536)</f>
        <v>245</v>
      </c>
      <c r="M536" s="8"/>
      <c r="N536" s="271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246</v>
      </c>
      <c r="I537" s="18"/>
      <c r="J537" s="18"/>
      <c r="K537" s="18"/>
      <c r="L537" s="88">
        <f>SUM(F537:K537)</f>
        <v>246</v>
      </c>
      <c r="M537" s="8"/>
      <c r="N537" s="271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736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736</v>
      </c>
      <c r="M538" s="8"/>
      <c r="N538" s="271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1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78129</v>
      </c>
      <c r="I540" s="18"/>
      <c r="J540" s="18"/>
      <c r="K540" s="18"/>
      <c r="L540" s="88">
        <f>SUM(F540:K540)</f>
        <v>78129</v>
      </c>
      <c r="M540" s="8"/>
      <c r="N540" s="271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37667</v>
      </c>
      <c r="I541" s="18"/>
      <c r="J541" s="18"/>
      <c r="K541" s="18"/>
      <c r="L541" s="88">
        <f>SUM(F541:K541)</f>
        <v>37667</v>
      </c>
      <c r="M541" s="8"/>
      <c r="N541" s="271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96853</v>
      </c>
      <c r="I542" s="18"/>
      <c r="J542" s="18"/>
      <c r="K542" s="18"/>
      <c r="L542" s="88">
        <f>SUM(F542:K542)</f>
        <v>96853</v>
      </c>
      <c r="M542" s="8"/>
      <c r="N542" s="271"/>
    </row>
    <row r="543" spans="1:14" s="3" customFormat="1" ht="12" customHeight="1" thickTop="1" thickBot="1" x14ac:dyDescent="0.2">
      <c r="A543" s="130" t="s">
        <v>71</v>
      </c>
      <c r="B543" s="190">
        <v>21</v>
      </c>
      <c r="C543" s="190">
        <v>20</v>
      </c>
      <c r="D543" s="191" t="s">
        <v>433</v>
      </c>
      <c r="E543" s="190"/>
      <c r="F543" s="192">
        <f>SUM(F540:F542)</f>
        <v>0</v>
      </c>
      <c r="G543" s="192">
        <f t="shared" ref="G543:L543" si="40">SUM(G540:G542)</f>
        <v>0</v>
      </c>
      <c r="H543" s="192">
        <f t="shared" si="40"/>
        <v>212649</v>
      </c>
      <c r="I543" s="192">
        <f t="shared" si="40"/>
        <v>0</v>
      </c>
      <c r="J543" s="192">
        <f t="shared" si="40"/>
        <v>0</v>
      </c>
      <c r="K543" s="192">
        <f t="shared" si="40"/>
        <v>0</v>
      </c>
      <c r="L543" s="192">
        <f t="shared" si="40"/>
        <v>212649</v>
      </c>
      <c r="M543" s="8"/>
      <c r="N543" s="271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1070888</v>
      </c>
      <c r="G544" s="89">
        <f t="shared" ref="G544:L544" si="41">G523+G528+G533+G538+G543</f>
        <v>340166</v>
      </c>
      <c r="H544" s="89">
        <f t="shared" si="41"/>
        <v>849389</v>
      </c>
      <c r="I544" s="89">
        <f t="shared" si="41"/>
        <v>28521</v>
      </c>
      <c r="J544" s="89">
        <f t="shared" si="41"/>
        <v>78688</v>
      </c>
      <c r="K544" s="89">
        <f t="shared" si="41"/>
        <v>4870</v>
      </c>
      <c r="L544" s="89">
        <f t="shared" si="41"/>
        <v>2372522</v>
      </c>
      <c r="M544" s="8"/>
      <c r="N544" s="271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1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1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1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484435</v>
      </c>
      <c r="G548" s="87">
        <f>L525</f>
        <v>172297</v>
      </c>
      <c r="H548" s="87">
        <f>L530</f>
        <v>63824</v>
      </c>
      <c r="I548" s="87">
        <f>L535</f>
        <v>245</v>
      </c>
      <c r="J548" s="87">
        <f>L540</f>
        <v>78129</v>
      </c>
      <c r="K548" s="87">
        <f>SUM(F548:J548)</f>
        <v>798930</v>
      </c>
      <c r="L548" s="24" t="s">
        <v>289</v>
      </c>
      <c r="M548" s="8"/>
      <c r="N548" s="271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481843</v>
      </c>
      <c r="G549" s="87">
        <f>L526</f>
        <v>88019</v>
      </c>
      <c r="H549" s="87">
        <f>L531</f>
        <v>63088</v>
      </c>
      <c r="I549" s="87">
        <f>L536</f>
        <v>245</v>
      </c>
      <c r="J549" s="87">
        <f>L541</f>
        <v>37667</v>
      </c>
      <c r="K549" s="87">
        <f>SUM(F549:J549)</f>
        <v>670862</v>
      </c>
      <c r="L549" s="24" t="s">
        <v>289</v>
      </c>
      <c r="M549" s="8"/>
      <c r="N549" s="271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648475</v>
      </c>
      <c r="G550" s="87">
        <f>L527</f>
        <v>94069</v>
      </c>
      <c r="H550" s="87">
        <f>L532</f>
        <v>63087</v>
      </c>
      <c r="I550" s="87">
        <f>L537</f>
        <v>246</v>
      </c>
      <c r="J550" s="87">
        <f>L542</f>
        <v>96853</v>
      </c>
      <c r="K550" s="87">
        <f>SUM(F550:J550)</f>
        <v>902730</v>
      </c>
      <c r="L550" s="24" t="s">
        <v>289</v>
      </c>
      <c r="M550" s="8"/>
      <c r="N550" s="271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1614753</v>
      </c>
      <c r="G551" s="89">
        <f t="shared" si="42"/>
        <v>354385</v>
      </c>
      <c r="H551" s="89">
        <f t="shared" si="42"/>
        <v>189999</v>
      </c>
      <c r="I551" s="89">
        <f t="shared" si="42"/>
        <v>736</v>
      </c>
      <c r="J551" s="89">
        <f t="shared" si="42"/>
        <v>212649</v>
      </c>
      <c r="K551" s="89">
        <f t="shared" si="42"/>
        <v>2372522</v>
      </c>
      <c r="L551" s="24"/>
      <c r="M551" s="8"/>
      <c r="N551" s="271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1"/>
    </row>
    <row r="553" spans="1:14" s="3" customFormat="1" ht="12" customHeight="1" x14ac:dyDescent="0.15">
      <c r="B553" s="105"/>
      <c r="C553" s="115"/>
      <c r="D553" s="115"/>
      <c r="E553" s="115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6"/>
      <c r="M553" s="8"/>
      <c r="N553" s="271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1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1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1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" customHeight="1" thickTop="1" x14ac:dyDescent="0.15">
      <c r="A559" s="139" t="s">
        <v>63</v>
      </c>
      <c r="B559" s="107">
        <v>22</v>
      </c>
      <c r="C559" s="194">
        <v>4</v>
      </c>
      <c r="D559" s="195" t="s">
        <v>433</v>
      </c>
      <c r="E559" s="194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1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1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1127</v>
      </c>
      <c r="G561" s="18">
        <f>86+17</f>
        <v>103</v>
      </c>
      <c r="H561" s="18">
        <v>700</v>
      </c>
      <c r="I561" s="18"/>
      <c r="J561" s="18"/>
      <c r="K561" s="18"/>
      <c r="L561" s="88">
        <f>SUM(F561:K561)</f>
        <v>1930</v>
      </c>
      <c r="M561" s="8"/>
      <c r="N561" s="271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5602</v>
      </c>
      <c r="G562" s="18">
        <f>429+80</f>
        <v>509</v>
      </c>
      <c r="H562" s="18">
        <v>665</v>
      </c>
      <c r="I562" s="18"/>
      <c r="J562" s="18"/>
      <c r="K562" s="18"/>
      <c r="L562" s="88">
        <f>SUM(F562:K562)</f>
        <v>6776</v>
      </c>
      <c r="M562" s="8"/>
      <c r="N562" s="271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88</v>
      </c>
      <c r="G563" s="18">
        <v>8</v>
      </c>
      <c r="H563" s="18"/>
      <c r="I563" s="18"/>
      <c r="J563" s="18"/>
      <c r="K563" s="18"/>
      <c r="L563" s="88">
        <f>SUM(F563:K563)</f>
        <v>96</v>
      </c>
      <c r="M563" s="8"/>
      <c r="N563" s="271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5" t="s">
        <v>433</v>
      </c>
      <c r="E564" s="107"/>
      <c r="F564" s="89">
        <f t="shared" ref="F564:L564" si="44">SUM(F561:F563)</f>
        <v>6817</v>
      </c>
      <c r="G564" s="89">
        <f t="shared" si="44"/>
        <v>620</v>
      </c>
      <c r="H564" s="89">
        <f t="shared" si="44"/>
        <v>1365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8802</v>
      </c>
      <c r="M564" s="8"/>
      <c r="N564" s="271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1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1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" customHeight="1" thickTop="1" thickBot="1" x14ac:dyDescent="0.2">
      <c r="A569" s="130" t="s">
        <v>67</v>
      </c>
      <c r="B569" s="190">
        <v>22</v>
      </c>
      <c r="C569" s="190">
        <v>12</v>
      </c>
      <c r="D569" s="196" t="s">
        <v>433</v>
      </c>
      <c r="E569" s="190"/>
      <c r="F569" s="192">
        <f>SUM(F566:F568)</f>
        <v>0</v>
      </c>
      <c r="G569" s="192">
        <f t="shared" ref="G569:L569" si="45">SUM(G566:G568)</f>
        <v>0</v>
      </c>
      <c r="H569" s="192">
        <f t="shared" si="45"/>
        <v>0</v>
      </c>
      <c r="I569" s="192">
        <f t="shared" si="45"/>
        <v>0</v>
      </c>
      <c r="J569" s="192">
        <f t="shared" si="45"/>
        <v>0</v>
      </c>
      <c r="K569" s="192">
        <f t="shared" si="45"/>
        <v>0</v>
      </c>
      <c r="L569" s="192">
        <f t="shared" si="45"/>
        <v>0</v>
      </c>
      <c r="M569" s="8"/>
      <c r="N569" s="271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6817</v>
      </c>
      <c r="G570" s="89">
        <f t="shared" ref="G570:L570" si="46">G559+G564+G569</f>
        <v>620</v>
      </c>
      <c r="H570" s="89">
        <f t="shared" si="46"/>
        <v>1365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8802</v>
      </c>
      <c r="M570" s="8"/>
      <c r="N570" s="271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1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1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101175</v>
      </c>
      <c r="I578" s="87">
        <f t="shared" si="47"/>
        <v>101175</v>
      </c>
      <c r="J578" s="24" t="s">
        <v>289</v>
      </c>
      <c r="K578" s="24" t="s">
        <v>289</v>
      </c>
      <c r="L578" s="24" t="s">
        <v>289</v>
      </c>
      <c r="M578" s="8"/>
      <c r="N578" s="271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1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64022</v>
      </c>
      <c r="G581" s="18">
        <v>88195</v>
      </c>
      <c r="H581" s="18">
        <v>151721</v>
      </c>
      <c r="I581" s="87">
        <f t="shared" si="47"/>
        <v>303938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5008</v>
      </c>
      <c r="I583" s="87">
        <f t="shared" si="47"/>
        <v>5008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1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1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126277</v>
      </c>
      <c r="I590" s="18">
        <v>128370</v>
      </c>
      <c r="J590" s="18">
        <v>126085</v>
      </c>
      <c r="K590" s="104">
        <f t="shared" ref="K590:K596" si="48">SUM(H590:J590)</f>
        <v>380732</v>
      </c>
      <c r="L590" s="24" t="s">
        <v>289</v>
      </c>
      <c r="M590" s="8"/>
      <c r="N590" s="271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78129</v>
      </c>
      <c r="I591" s="18">
        <v>37667</v>
      </c>
      <c r="J591" s="18">
        <v>96853</v>
      </c>
      <c r="K591" s="104">
        <f t="shared" si="48"/>
        <v>212649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24336</v>
      </c>
      <c r="K592" s="104">
        <f t="shared" si="48"/>
        <v>24336</v>
      </c>
      <c r="L592" s="24" t="s">
        <v>289</v>
      </c>
      <c r="M592" s="8"/>
      <c r="N592" s="271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22659</v>
      </c>
      <c r="J593" s="18">
        <v>57016</v>
      </c>
      <c r="K593" s="104">
        <f t="shared" si="48"/>
        <v>79675</v>
      </c>
      <c r="L593" s="24" t="s">
        <v>289</v>
      </c>
      <c r="M593" s="8"/>
      <c r="N593" s="271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>
        <v>3065</v>
      </c>
      <c r="J594" s="18">
        <v>2496</v>
      </c>
      <c r="K594" s="104">
        <f t="shared" si="48"/>
        <v>5561</v>
      </c>
      <c r="L594" s="24" t="s">
        <v>289</v>
      </c>
      <c r="M594" s="8"/>
      <c r="N594" s="271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1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1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204406</v>
      </c>
      <c r="I597" s="108">
        <f>SUM(I590:I596)</f>
        <v>191761</v>
      </c>
      <c r="J597" s="108">
        <f>SUM(J590:J596)</f>
        <v>306786</v>
      </c>
      <c r="K597" s="108">
        <f>SUM(K590:K596)</f>
        <v>702953</v>
      </c>
      <c r="L597" s="24" t="s">
        <v>289</v>
      </c>
      <c r="M597" s="8"/>
      <c r="N597" s="271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1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1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1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1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86146</v>
      </c>
      <c r="I603" s="18">
        <v>91232</v>
      </c>
      <c r="J603" s="18">
        <v>189217</v>
      </c>
      <c r="K603" s="104">
        <f>SUM(H603:J603)</f>
        <v>366595</v>
      </c>
      <c r="L603" s="24" t="s">
        <v>289</v>
      </c>
      <c r="M603" s="8"/>
      <c r="N603" s="271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86146</v>
      </c>
      <c r="I604" s="108">
        <f>SUM(I601:I603)</f>
        <v>91232</v>
      </c>
      <c r="J604" s="108">
        <f>SUM(J601:J603)</f>
        <v>189217</v>
      </c>
      <c r="K604" s="108">
        <f>SUM(K601:K603)</f>
        <v>366595</v>
      </c>
      <c r="L604" s="24" t="s">
        <v>289</v>
      </c>
      <c r="M604" s="8"/>
      <c r="N604" s="271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1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B608" s="105"/>
      <c r="C608" s="105"/>
      <c r="D608" s="105"/>
      <c r="E608" s="105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8"/>
      <c r="M608" s="8"/>
      <c r="N608" s="271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1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9754</v>
      </c>
      <c r="G610" s="18">
        <v>1410</v>
      </c>
      <c r="H610" s="18"/>
      <c r="I610" s="18">
        <v>492</v>
      </c>
      <c r="J610" s="18"/>
      <c r="K610" s="18"/>
      <c r="L610" s="88">
        <f>SUM(F610:K610)</f>
        <v>11656</v>
      </c>
      <c r="M610" s="8"/>
      <c r="N610" s="271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8538</v>
      </c>
      <c r="G611" s="18">
        <v>1485</v>
      </c>
      <c r="H611" s="18"/>
      <c r="I611" s="18"/>
      <c r="J611" s="18"/>
      <c r="K611" s="18"/>
      <c r="L611" s="88">
        <f>SUM(F611:K611)</f>
        <v>10023</v>
      </c>
      <c r="M611" s="8"/>
      <c r="N611" s="271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1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18292</v>
      </c>
      <c r="G613" s="108">
        <f t="shared" si="49"/>
        <v>2895</v>
      </c>
      <c r="H613" s="108">
        <f t="shared" si="49"/>
        <v>0</v>
      </c>
      <c r="I613" s="108">
        <f t="shared" si="49"/>
        <v>492</v>
      </c>
      <c r="J613" s="108">
        <f t="shared" si="49"/>
        <v>0</v>
      </c>
      <c r="K613" s="108">
        <f t="shared" si="49"/>
        <v>0</v>
      </c>
      <c r="L613" s="89">
        <f t="shared" si="49"/>
        <v>21679</v>
      </c>
      <c r="M613" s="8"/>
      <c r="N613" s="271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1082568</v>
      </c>
      <c r="H616" s="109">
        <f>SUM(F51)</f>
        <v>1082568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50295</v>
      </c>
      <c r="H617" s="109">
        <f>SUM(G51)</f>
        <v>50295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218585</v>
      </c>
      <c r="H618" s="109">
        <f>SUM(H51)</f>
        <v>218585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143893</v>
      </c>
      <c r="H620" s="109">
        <f>SUM(J51)</f>
        <v>143893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924851</v>
      </c>
      <c r="H621" s="109">
        <f>F475</f>
        <v>924851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17571</v>
      </c>
      <c r="H622" s="109">
        <f>G475</f>
        <v>17571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10281</v>
      </c>
      <c r="H623" s="109">
        <f>H475</f>
        <v>10281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143893</v>
      </c>
      <c r="H625" s="109">
        <f>J475</f>
        <v>143893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15778446</v>
      </c>
      <c r="H626" s="104">
        <f>SUM(F467)</f>
        <v>15778446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469394</v>
      </c>
      <c r="H627" s="104">
        <f>SUM(G467)</f>
        <v>469394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743330</v>
      </c>
      <c r="H628" s="104">
        <f>SUM(H467)</f>
        <v>743330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1461</v>
      </c>
      <c r="H629" s="104">
        <f>SUM(I467)</f>
        <v>1461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53227</v>
      </c>
      <c r="H630" s="104">
        <f>SUM(J467)</f>
        <v>53227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15985626</v>
      </c>
      <c r="H631" s="104">
        <f>SUM(F471)</f>
        <v>15985626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742403</v>
      </c>
      <c r="H632" s="104">
        <f>SUM(H471)</f>
        <v>742403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36330</v>
      </c>
      <c r="H633" s="104">
        <f>I368</f>
        <v>36330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469395</v>
      </c>
      <c r="H634" s="104">
        <f>SUM(G471)</f>
        <v>469395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236783</v>
      </c>
      <c r="H635" s="104">
        <f>SUM(I471)</f>
        <v>236783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53227</v>
      </c>
      <c r="H636" s="164">
        <f>SUM(J467)</f>
        <v>53227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143893</v>
      </c>
      <c r="H638" s="104">
        <f>SUM(F460)</f>
        <v>143893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143893</v>
      </c>
      <c r="H641" s="104">
        <f>SUM(I460)</f>
        <v>143893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3227</v>
      </c>
      <c r="H643" s="104">
        <f>H407</f>
        <v>3227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53227</v>
      </c>
      <c r="H645" s="104">
        <f>L407</f>
        <v>53227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702953</v>
      </c>
      <c r="H646" s="104">
        <f>L207+L225+L243</f>
        <v>702953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366595</v>
      </c>
      <c r="H647" s="104">
        <f>(J256+J337)-(J254+J335)</f>
        <v>366595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204406</v>
      </c>
      <c r="H648" s="104">
        <f>H597</f>
        <v>204406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191761</v>
      </c>
      <c r="H649" s="104">
        <f>I597</f>
        <v>191761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306786</v>
      </c>
      <c r="H650" s="104">
        <f>J597</f>
        <v>306786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8875</v>
      </c>
      <c r="H651" s="104">
        <f>K262+K344</f>
        <v>8875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1352</v>
      </c>
      <c r="H653" s="104">
        <f>K264+K345</f>
        <v>1352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4755556</v>
      </c>
      <c r="G659" s="19">
        <f>(L228+L308+L358)</f>
        <v>4487452</v>
      </c>
      <c r="H659" s="19">
        <f>(L246+L327+L359)</f>
        <v>5260729</v>
      </c>
      <c r="I659" s="19">
        <f>SUM(F659:H659)</f>
        <v>14503737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76061.371885086119</v>
      </c>
      <c r="G660" s="19">
        <f>(L358/IF(SUM(L357:L359)=0,1,SUM(L357:L359))*(SUM(G96:G109)))</f>
        <v>77329.660185984088</v>
      </c>
      <c r="H660" s="19">
        <f>(L359/IF(SUM(L357:L359)=0,1,SUM(L357:L359))*(SUM(G96:G109)))</f>
        <v>68497.967928929793</v>
      </c>
      <c r="I660" s="19">
        <f>SUM(F660:H660)</f>
        <v>221889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204674</v>
      </c>
      <c r="G661" s="19">
        <f>(L225+L305)-(J225+J305)</f>
        <v>192573</v>
      </c>
      <c r="H661" s="19">
        <f>(L243+L324)-(J243+J324)</f>
        <v>306786</v>
      </c>
      <c r="I661" s="19">
        <f>SUM(F661:H661)</f>
        <v>704033</v>
      </c>
      <c r="J661"/>
      <c r="K661" s="13"/>
      <c r="L661" s="13"/>
      <c r="M661" s="8"/>
    </row>
    <row r="662" spans="1:13" s="3" customFormat="1" ht="12" customHeight="1" x14ac:dyDescent="0.15">
      <c r="A662" s="197" t="s">
        <v>129</v>
      </c>
      <c r="B662" s="169"/>
      <c r="C662" s="169"/>
      <c r="D662" s="169"/>
      <c r="E662" s="169"/>
      <c r="F662" s="198">
        <f>SUM(F574:F586)+SUM(H601:H603)+SUM(L610)</f>
        <v>161824</v>
      </c>
      <c r="G662" s="198">
        <f>SUM(G574:G586)+SUM(I601:I603)+L611</f>
        <v>189450</v>
      </c>
      <c r="H662" s="198">
        <f>SUM(H574:H586)+SUM(J601:J603)+L612</f>
        <v>447121</v>
      </c>
      <c r="I662" s="19">
        <f>SUM(F662:H662)</f>
        <v>798395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4312996.6281149136</v>
      </c>
      <c r="G663" s="19">
        <f>G659-SUM(G660:G662)</f>
        <v>4028099.3398140157</v>
      </c>
      <c r="H663" s="19">
        <f>H659-SUM(H660:H662)</f>
        <v>4438324.0320710707</v>
      </c>
      <c r="I663" s="19">
        <f>I659-SUM(I660:I662)</f>
        <v>12779420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6">
        <v>400</v>
      </c>
      <c r="G664" s="247">
        <v>359.94</v>
      </c>
      <c r="H664" s="247">
        <v>350.52</v>
      </c>
      <c r="I664" s="19">
        <f>SUM(F664:H664)</f>
        <v>1110.46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10782.49</v>
      </c>
      <c r="G666" s="19">
        <f>ROUND(G663/G664,2)</f>
        <v>11191.03</v>
      </c>
      <c r="H666" s="19">
        <f>ROUND(H663/H664,2)</f>
        <v>12662.11</v>
      </c>
      <c r="I666" s="19">
        <f>ROUND(I663/I664,2)</f>
        <v>11508.22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3.12</v>
      </c>
      <c r="I669" s="19">
        <f>SUM(F669:H669)</f>
        <v>3.12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10782.49</v>
      </c>
      <c r="G671" s="19">
        <f>ROUND((G663+G668)/(G664+G669),2)</f>
        <v>11191.03</v>
      </c>
      <c r="H671" s="19">
        <f>ROUND((H663+H668)/(H664+H669),2)</f>
        <v>12550.4</v>
      </c>
      <c r="I671" s="19">
        <f>ROUND((I663+I668)/(I664+I669),2)</f>
        <v>11475.98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Mascenic Regional</v>
      </c>
      <c r="C1" s="237" t="s">
        <v>839</v>
      </c>
    </row>
    <row r="2" spans="1:3" x14ac:dyDescent="0.2">
      <c r="A2" s="232"/>
      <c r="B2" s="231"/>
    </row>
    <row r="3" spans="1:3" x14ac:dyDescent="0.2">
      <c r="A3" s="276" t="s">
        <v>784</v>
      </c>
      <c r="B3" s="276"/>
      <c r="C3" s="276"/>
    </row>
    <row r="4" spans="1:3" x14ac:dyDescent="0.2">
      <c r="A4" s="235"/>
      <c r="B4" s="236" t="str">
        <f>'DOE25'!H1</f>
        <v>DOE 25  2012-2013</v>
      </c>
      <c r="C4" s="235"/>
    </row>
    <row r="5" spans="1:3" x14ac:dyDescent="0.2">
      <c r="A5" s="232"/>
      <c r="B5" s="231"/>
    </row>
    <row r="6" spans="1:3" x14ac:dyDescent="0.2">
      <c r="A6" s="226"/>
      <c r="B6" s="275" t="s">
        <v>783</v>
      </c>
      <c r="C6" s="275"/>
    </row>
    <row r="7" spans="1:3" x14ac:dyDescent="0.2">
      <c r="A7" s="238" t="s">
        <v>786</v>
      </c>
      <c r="B7" s="273" t="s">
        <v>782</v>
      </c>
      <c r="C7" s="274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'DOE25'!F196+'DOE25'!F214+'DOE25'!F232+'DOE25'!F275+'DOE25'!F294+'DOE25'!F313</f>
        <v>3958587</v>
      </c>
      <c r="C9" s="228">
        <f>'DOE25'!G196+'DOE25'!G214+'DOE25'!G232+'DOE25'!G275+'DOE25'!G294+'DOE25'!G313</f>
        <v>1713290</v>
      </c>
    </row>
    <row r="10" spans="1:3" x14ac:dyDescent="0.2">
      <c r="A10" t="s">
        <v>779</v>
      </c>
      <c r="B10" s="239">
        <f>-1+3693313</f>
        <v>3693312</v>
      </c>
      <c r="C10" s="239">
        <f>1+1679327</f>
        <v>1679328</v>
      </c>
    </row>
    <row r="11" spans="1:3" x14ac:dyDescent="0.2">
      <c r="A11" t="s">
        <v>780</v>
      </c>
      <c r="B11" s="239">
        <v>85502</v>
      </c>
      <c r="C11" s="239">
        <v>13421</v>
      </c>
    </row>
    <row r="12" spans="1:3" x14ac:dyDescent="0.2">
      <c r="A12" t="s">
        <v>781</v>
      </c>
      <c r="B12" s="239">
        <v>179773</v>
      </c>
      <c r="C12" s="239">
        <v>20541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3958587</v>
      </c>
      <c r="C13" s="230">
        <f>SUM(C10:C12)</f>
        <v>1713290</v>
      </c>
    </row>
    <row r="14" spans="1:3" x14ac:dyDescent="0.2">
      <c r="B14" s="229"/>
      <c r="C14" s="229"/>
    </row>
    <row r="15" spans="1:3" x14ac:dyDescent="0.2">
      <c r="B15" s="275" t="s">
        <v>783</v>
      </c>
      <c r="C15" s="275"/>
    </row>
    <row r="16" spans="1:3" x14ac:dyDescent="0.2">
      <c r="A16" s="238" t="s">
        <v>787</v>
      </c>
      <c r="B16" s="273" t="s">
        <v>707</v>
      </c>
      <c r="C16" s="274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'DOE25'!F197+'DOE25'!F215+'DOE25'!F233+'DOE25'!F276+'DOE25'!F295+'DOE25'!F314</f>
        <v>857760</v>
      </c>
      <c r="C18" s="228">
        <f>'DOE25'!G197+'DOE25'!G215+'DOE25'!G233+'DOE25'!G276+'DOE25'!G295+'DOE25'!G314</f>
        <v>254243</v>
      </c>
    </row>
    <row r="19" spans="1:3" x14ac:dyDescent="0.2">
      <c r="A19" t="s">
        <v>779</v>
      </c>
      <c r="B19" s="239">
        <v>391189</v>
      </c>
      <c r="C19" s="239">
        <f>2+167048</f>
        <v>167050</v>
      </c>
    </row>
    <row r="20" spans="1:3" x14ac:dyDescent="0.2">
      <c r="A20" t="s">
        <v>780</v>
      </c>
      <c r="B20" s="239">
        <v>384036</v>
      </c>
      <c r="C20" s="239">
        <v>55421</v>
      </c>
    </row>
    <row r="21" spans="1:3" x14ac:dyDescent="0.2">
      <c r="A21" t="s">
        <v>781</v>
      </c>
      <c r="B21" s="239">
        <v>82535</v>
      </c>
      <c r="C21" s="239">
        <v>31772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857760</v>
      </c>
      <c r="C22" s="230">
        <f>SUM(C19:C21)</f>
        <v>254243</v>
      </c>
    </row>
    <row r="23" spans="1:3" x14ac:dyDescent="0.2">
      <c r="B23" s="229"/>
      <c r="C23" s="229"/>
    </row>
    <row r="24" spans="1:3" x14ac:dyDescent="0.2">
      <c r="B24" s="275" t="s">
        <v>783</v>
      </c>
      <c r="C24" s="275"/>
    </row>
    <row r="25" spans="1:3" x14ac:dyDescent="0.2">
      <c r="A25" s="238" t="s">
        <v>788</v>
      </c>
      <c r="B25" s="273" t="s">
        <v>708</v>
      </c>
      <c r="C25" s="274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'DOE25'!F198+'DOE25'!F216+'DOE25'!F234+'DOE25'!F277+'DOE25'!F296+'DOE25'!F315</f>
        <v>96111</v>
      </c>
      <c r="C27" s="233">
        <f>'DOE25'!G198+'DOE25'!G216+'DOE25'!G234+'DOE25'!G277+'DOE25'!G296+'DOE25'!G315</f>
        <v>30107</v>
      </c>
    </row>
    <row r="28" spans="1:3" x14ac:dyDescent="0.2">
      <c r="A28" t="s">
        <v>779</v>
      </c>
      <c r="B28" s="239">
        <v>84496</v>
      </c>
      <c r="C28" s="239">
        <v>23289</v>
      </c>
    </row>
    <row r="29" spans="1:3" x14ac:dyDescent="0.2">
      <c r="A29" t="s">
        <v>780</v>
      </c>
      <c r="B29" s="239">
        <v>11615</v>
      </c>
      <c r="C29" s="239">
        <v>6818</v>
      </c>
    </row>
    <row r="30" spans="1:3" x14ac:dyDescent="0.2">
      <c r="A30" t="s">
        <v>781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96111</v>
      </c>
      <c r="C31" s="230">
        <f>SUM(C28:C30)</f>
        <v>30107</v>
      </c>
    </row>
    <row r="33" spans="1:3" x14ac:dyDescent="0.2">
      <c r="B33" s="275" t="s">
        <v>783</v>
      </c>
      <c r="C33" s="275"/>
    </row>
    <row r="34" spans="1:3" x14ac:dyDescent="0.2">
      <c r="A34" s="238" t="s">
        <v>789</v>
      </c>
      <c r="B34" s="273" t="s">
        <v>709</v>
      </c>
      <c r="C34" s="274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'DOE25'!F199+'DOE25'!F217+'DOE25'!F235+'DOE25'!F278+'DOE25'!F297+'DOE25'!F316</f>
        <v>120579</v>
      </c>
      <c r="C36" s="234">
        <f>'DOE25'!G199+'DOE25'!G217+'DOE25'!G235+'DOE25'!G278+'DOE25'!G297+'DOE25'!G316</f>
        <v>16067</v>
      </c>
    </row>
    <row r="37" spans="1:3" x14ac:dyDescent="0.2">
      <c r="A37" t="s">
        <v>779</v>
      </c>
      <c r="B37" s="239"/>
      <c r="C37" s="239"/>
    </row>
    <row r="38" spans="1:3" x14ac:dyDescent="0.2">
      <c r="A38" t="s">
        <v>780</v>
      </c>
      <c r="B38" s="239"/>
      <c r="C38" s="239"/>
    </row>
    <row r="39" spans="1:3" x14ac:dyDescent="0.2">
      <c r="A39" t="s">
        <v>781</v>
      </c>
      <c r="B39" s="239">
        <f>120578+1</f>
        <v>120579</v>
      </c>
      <c r="C39" s="239">
        <f>16068-1</f>
        <v>16067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120579</v>
      </c>
      <c r="C40" s="230">
        <f>SUM(C37:C39)</f>
        <v>16067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0"/>
    </row>
    <row r="2" spans="1:9" x14ac:dyDescent="0.2">
      <c r="A2" s="33" t="s">
        <v>717</v>
      </c>
      <c r="B2" s="264" t="str">
        <f>'DOE25'!A2</f>
        <v>Mascenic Regional</v>
      </c>
      <c r="C2" s="180"/>
      <c r="D2" s="180" t="s">
        <v>792</v>
      </c>
      <c r="E2" s="180" t="s">
        <v>794</v>
      </c>
      <c r="F2" s="277" t="s">
        <v>821</v>
      </c>
      <c r="G2" s="278"/>
      <c r="H2" s="279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7636376</v>
      </c>
      <c r="D5" s="20">
        <f>SUM('DOE25'!L196:L199)+SUM('DOE25'!L214:L217)+SUM('DOE25'!L232:L235)-F5-G5</f>
        <v>7415236</v>
      </c>
      <c r="E5" s="242"/>
      <c r="F5" s="254">
        <f>SUM('DOE25'!J196:J199)+SUM('DOE25'!J214:J217)+SUM('DOE25'!J232:J235)</f>
        <v>204330</v>
      </c>
      <c r="G5" s="53">
        <f>SUM('DOE25'!K196:K199)+SUM('DOE25'!K214:K217)+SUM('DOE25'!K232:K235)</f>
        <v>16810</v>
      </c>
      <c r="H5" s="258"/>
    </row>
    <row r="6" spans="1:9" x14ac:dyDescent="0.2">
      <c r="A6" s="32">
        <v>2100</v>
      </c>
      <c r="B6" t="s">
        <v>801</v>
      </c>
      <c r="C6" s="244">
        <f t="shared" si="0"/>
        <v>1053673</v>
      </c>
      <c r="D6" s="20">
        <f>'DOE25'!L201+'DOE25'!L219+'DOE25'!L237-F6-G6</f>
        <v>1051746</v>
      </c>
      <c r="E6" s="242"/>
      <c r="F6" s="254">
        <f>'DOE25'!J201+'DOE25'!J219+'DOE25'!J237</f>
        <v>976</v>
      </c>
      <c r="G6" s="53">
        <f>'DOE25'!K201+'DOE25'!K219+'DOE25'!K237</f>
        <v>951</v>
      </c>
      <c r="H6" s="258"/>
    </row>
    <row r="7" spans="1:9" x14ac:dyDescent="0.2">
      <c r="A7" s="32">
        <v>2200</v>
      </c>
      <c r="B7" t="s">
        <v>834</v>
      </c>
      <c r="C7" s="244">
        <f t="shared" si="0"/>
        <v>344988</v>
      </c>
      <c r="D7" s="20">
        <f>'DOE25'!L202+'DOE25'!L220+'DOE25'!L238-F7-G7</f>
        <v>345042</v>
      </c>
      <c r="E7" s="242"/>
      <c r="F7" s="254">
        <f>'DOE25'!J202+'DOE25'!J220+'DOE25'!J238</f>
        <v>-54</v>
      </c>
      <c r="G7" s="53">
        <f>'DOE25'!K202+'DOE25'!K220+'DOE25'!K238</f>
        <v>0</v>
      </c>
      <c r="H7" s="258"/>
    </row>
    <row r="8" spans="1:9" x14ac:dyDescent="0.2">
      <c r="A8" s="32">
        <v>2300</v>
      </c>
      <c r="B8" t="s">
        <v>802</v>
      </c>
      <c r="C8" s="244">
        <f t="shared" si="0"/>
        <v>189997</v>
      </c>
      <c r="D8" s="242"/>
      <c r="E8" s="20">
        <f>'DOE25'!L203+'DOE25'!L221+'DOE25'!L239-F8-G8-D9-D11</f>
        <v>168230</v>
      </c>
      <c r="F8" s="254">
        <f>'DOE25'!J203+'DOE25'!J221+'DOE25'!J239</f>
        <v>6342</v>
      </c>
      <c r="G8" s="53">
        <f>'DOE25'!K203+'DOE25'!K221+'DOE25'!K239</f>
        <v>15425</v>
      </c>
      <c r="H8" s="258"/>
    </row>
    <row r="9" spans="1:9" x14ac:dyDescent="0.2">
      <c r="A9" s="32">
        <v>2310</v>
      </c>
      <c r="B9" t="s">
        <v>818</v>
      </c>
      <c r="C9" s="244">
        <f t="shared" si="0"/>
        <v>176701</v>
      </c>
      <c r="D9" s="243">
        <v>176701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34000</v>
      </c>
      <c r="D10" s="242"/>
      <c r="E10" s="243">
        <v>34000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217595</v>
      </c>
      <c r="D11" s="243">
        <v>217595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1019284</v>
      </c>
      <c r="D12" s="20">
        <f>'DOE25'!L204+'DOE25'!L222+'DOE25'!L240-F12-G12</f>
        <v>999295</v>
      </c>
      <c r="E12" s="242"/>
      <c r="F12" s="254">
        <f>'DOE25'!J204+'DOE25'!J222+'DOE25'!J240</f>
        <v>3355</v>
      </c>
      <c r="G12" s="53">
        <f>'DOE25'!K204+'DOE25'!K222+'DOE25'!K240</f>
        <v>16634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244555</v>
      </c>
      <c r="D13" s="242"/>
      <c r="E13" s="20">
        <f>'DOE25'!L205+'DOE25'!L223+'DOE25'!L241-F13-G13</f>
        <v>238183</v>
      </c>
      <c r="F13" s="254">
        <f>'DOE25'!J205+'DOE25'!J223+'DOE25'!J241</f>
        <v>4461</v>
      </c>
      <c r="G13" s="53">
        <f>'DOE25'!K205+'DOE25'!K223+'DOE25'!K241</f>
        <v>1911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1513298</v>
      </c>
      <c r="D14" s="20">
        <f>'DOE25'!L206+'DOE25'!L224+'DOE25'!L242-F14-G14</f>
        <v>1459188</v>
      </c>
      <c r="E14" s="242"/>
      <c r="F14" s="254">
        <f>'DOE25'!J206+'DOE25'!J224+'DOE25'!J242</f>
        <v>54110</v>
      </c>
      <c r="G14" s="53">
        <f>'DOE25'!K206+'DOE25'!K224+'DOE25'!K242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702953</v>
      </c>
      <c r="D15" s="20">
        <f>'DOE25'!L207+'DOE25'!L225+'DOE25'!L243-F15-G15</f>
        <v>702953</v>
      </c>
      <c r="E15" s="242"/>
      <c r="F15" s="254">
        <f>'DOE25'!J207+'DOE25'!J225+'DOE25'!J243</f>
        <v>0</v>
      </c>
      <c r="G15" s="53">
        <f>'DOE25'!K207+'DOE25'!K225+'DOE25'!K243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192519</v>
      </c>
      <c r="D16" s="242"/>
      <c r="E16" s="20">
        <f>'DOE25'!L208+'DOE25'!L226+'DOE25'!L244-F16-G16</f>
        <v>188279</v>
      </c>
      <c r="F16" s="254">
        <f>'DOE25'!J208+'DOE25'!J226+'DOE25'!J244</f>
        <v>-23</v>
      </c>
      <c r="G16" s="53">
        <f>'DOE25'!K208+'DOE25'!K226+'DOE25'!K244</f>
        <v>4263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'DOE25'!L250-F17-G17</f>
        <v>0</v>
      </c>
      <c r="E17" s="242"/>
      <c r="F17" s="254">
        <f>'DOE25'!J250</f>
        <v>0</v>
      </c>
      <c r="G17" s="53">
        <f>'DOE25'!K250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'DOE25'!L251-F18-G18</f>
        <v>0</v>
      </c>
      <c r="E18" s="242"/>
      <c r="F18" s="254">
        <f>'DOE25'!J251</f>
        <v>0</v>
      </c>
      <c r="G18" s="53">
        <f>'DOE25'!K251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'DOE25'!L252-F19-G19</f>
        <v>0</v>
      </c>
      <c r="E19" s="242"/>
      <c r="F19" s="254">
        <f>'DOE25'!J252</f>
        <v>0</v>
      </c>
      <c r="G19" s="53">
        <f>'DOE25'!K252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'DOE25'!L254+'DOE25'!L335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2633460</v>
      </c>
      <c r="D25" s="242"/>
      <c r="E25" s="242"/>
      <c r="F25" s="257"/>
      <c r="G25" s="255"/>
      <c r="H25" s="256">
        <f>'DOE25'!L259+'DOE25'!L260+'DOE25'!L340+'DOE25'!L341</f>
        <v>2633460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434712</v>
      </c>
      <c r="D29" s="20">
        <f>'DOE25'!L357+'DOE25'!L358+'DOE25'!L359-'DOE25'!I366-F29-G29</f>
        <v>432204</v>
      </c>
      <c r="E29" s="242"/>
      <c r="F29" s="254">
        <f>'DOE25'!J357+'DOE25'!J358+'DOE25'!J359</f>
        <v>2508</v>
      </c>
      <c r="G29" s="53">
        <f>'DOE25'!K357+'DOE25'!K358+'DOE25'!K359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742403</v>
      </c>
      <c r="D31" s="20">
        <f>'DOE25'!L289+'DOE25'!L308+'DOE25'!L327+'DOE25'!L332+'DOE25'!L333+'DOE25'!L334-F31-G31</f>
        <v>646533</v>
      </c>
      <c r="E31" s="242"/>
      <c r="F31" s="254">
        <f>'DOE25'!J289+'DOE25'!J308+'DOE25'!J327+'DOE25'!J332+'DOE25'!J333+'DOE25'!J334</f>
        <v>93098</v>
      </c>
      <c r="G31" s="53">
        <f>'DOE25'!K289+'DOE25'!K308+'DOE25'!K327+'DOE25'!K332+'DOE25'!K333+'DOE25'!K334</f>
        <v>2772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13446493</v>
      </c>
      <c r="E33" s="245">
        <f>SUM(E5:E31)</f>
        <v>628692</v>
      </c>
      <c r="F33" s="245">
        <f>SUM(F5:F31)</f>
        <v>369103</v>
      </c>
      <c r="G33" s="245">
        <f>SUM(G5:G31)</f>
        <v>58766</v>
      </c>
      <c r="H33" s="245">
        <f>SUM(H5:H31)</f>
        <v>2633460</v>
      </c>
    </row>
    <row r="35" spans="2:8" ht="12" thickBot="1" x14ac:dyDescent="0.25">
      <c r="B35" s="252" t="s">
        <v>847</v>
      </c>
      <c r="D35" s="253">
        <f>E33</f>
        <v>628692</v>
      </c>
      <c r="E35" s="248"/>
    </row>
    <row r="36" spans="2:8" ht="12" thickTop="1" x14ac:dyDescent="0.2">
      <c r="B36" t="s">
        <v>815</v>
      </c>
      <c r="D36" s="20">
        <f>D33</f>
        <v>13446493</v>
      </c>
    </row>
    <row r="38" spans="2:8" x14ac:dyDescent="0.2">
      <c r="B38" s="186" t="s">
        <v>903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70" activePane="bottomLeft" state="frozen"/>
      <selection pane="bottomLeft" activeCell="N9" sqref="N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Mascenic Regional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863775</v>
      </c>
      <c r="D8" s="95">
        <f>'DOE25'!G9</f>
        <v>100</v>
      </c>
      <c r="E8" s="95">
        <f>'DOE25'!H9</f>
        <v>966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6018</v>
      </c>
      <c r="F9" s="95">
        <f>'DOE25'!I10</f>
        <v>0</v>
      </c>
      <c r="G9" s="95">
        <f>'DOE25'!J10</f>
        <v>143893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198061</v>
      </c>
      <c r="D11" s="95">
        <f>'DOE25'!G12</f>
        <v>4056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20732</v>
      </c>
      <c r="D13" s="95">
        <f>'DOE25'!G14</f>
        <v>37328</v>
      </c>
      <c r="E13" s="95">
        <f>'DOE25'!H14</f>
        <v>211601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8811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1082568</v>
      </c>
      <c r="D18" s="41">
        <f>SUM(D8:D17)</f>
        <v>50295</v>
      </c>
      <c r="E18" s="41">
        <f>SUM(E8:E17)</f>
        <v>218585</v>
      </c>
      <c r="F18" s="41">
        <f>SUM(F8:F17)</f>
        <v>0</v>
      </c>
      <c r="G18" s="41">
        <f>SUM(G8:G17)</f>
        <v>143893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202116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113458</v>
      </c>
      <c r="D23" s="95">
        <f>'DOE25'!G24</f>
        <v>32724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44259</v>
      </c>
      <c r="D27" s="95">
        <f>'DOE25'!G28</f>
        <v>0</v>
      </c>
      <c r="E27" s="95">
        <f>'DOE25'!H28</f>
        <v>6188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157717</v>
      </c>
      <c r="D31" s="41">
        <f>SUM(D21:D30)</f>
        <v>32724</v>
      </c>
      <c r="E31" s="41">
        <f>SUM(E21:E30)</f>
        <v>208304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8811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8760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10281</v>
      </c>
      <c r="F46" s="95">
        <f>'DOE25'!I47</f>
        <v>0</v>
      </c>
      <c r="G46" s="95">
        <f>'DOE25'!J47</f>
        <v>143893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108112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816739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924851</v>
      </c>
      <c r="D49" s="41">
        <f>SUM(D34:D48)</f>
        <v>17571</v>
      </c>
      <c r="E49" s="41">
        <f>SUM(E34:E48)</f>
        <v>10281</v>
      </c>
      <c r="F49" s="41">
        <f>SUM(F34:F48)</f>
        <v>0</v>
      </c>
      <c r="G49" s="41">
        <f>SUM(G34:G48)</f>
        <v>143893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1082568</v>
      </c>
      <c r="D50" s="41">
        <f>D49+D31</f>
        <v>50295</v>
      </c>
      <c r="E50" s="41">
        <f>E49+E31</f>
        <v>218585</v>
      </c>
      <c r="F50" s="41">
        <f>F49+F31</f>
        <v>0</v>
      </c>
      <c r="G50" s="41">
        <f>G49+G31</f>
        <v>143893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6558214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64654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9</v>
      </c>
      <c r="F58" s="95">
        <f>'DOE25'!I95</f>
        <v>109</v>
      </c>
      <c r="G58" s="95">
        <f>'DOE25'!J95</f>
        <v>3227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221889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176115</v>
      </c>
      <c r="D60" s="95">
        <f>SUM('DOE25'!G97:G109)</f>
        <v>0</v>
      </c>
      <c r="E60" s="95">
        <f>SUM('DOE25'!H97:H109)</f>
        <v>2977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240769</v>
      </c>
      <c r="D61" s="130">
        <f>SUM(D56:D60)</f>
        <v>221889</v>
      </c>
      <c r="E61" s="130">
        <f>SUM(E56:E60)</f>
        <v>2986</v>
      </c>
      <c r="F61" s="130">
        <f>SUM(F56:F60)</f>
        <v>109</v>
      </c>
      <c r="G61" s="130">
        <f>SUM(G56:G60)</f>
        <v>3227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6798983</v>
      </c>
      <c r="D62" s="22">
        <f>D55+D61</f>
        <v>221889</v>
      </c>
      <c r="E62" s="22">
        <f>E55+E61</f>
        <v>2986</v>
      </c>
      <c r="F62" s="22">
        <f>F55+F61</f>
        <v>109</v>
      </c>
      <c r="G62" s="22">
        <f>G55+G61</f>
        <v>3227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5416379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1131628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6548007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810885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91941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124200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123840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24369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4908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1175235</v>
      </c>
      <c r="D77" s="130">
        <f>SUM(D71:D76)</f>
        <v>4908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7723242</v>
      </c>
      <c r="D80" s="130">
        <f>SUM(D78:D79)+D77+D69</f>
        <v>4908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102761</v>
      </c>
      <c r="D87" s="95">
        <f>SUM('DOE25'!G152:G160)</f>
        <v>233722</v>
      </c>
      <c r="E87" s="95">
        <f>SUM('DOE25'!H152:H160)</f>
        <v>740344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102761</v>
      </c>
      <c r="D90" s="131">
        <f>SUM(D84:D89)</f>
        <v>233722</v>
      </c>
      <c r="E90" s="131">
        <f>SUM(E84:E89)</f>
        <v>740344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1153460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8875</v>
      </c>
      <c r="E95" s="95">
        <f>'DOE25'!H178</f>
        <v>0</v>
      </c>
      <c r="F95" s="95">
        <f>'DOE25'!I178</f>
        <v>1352</v>
      </c>
      <c r="G95" s="95">
        <f>'DOE25'!J178</f>
        <v>50000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1153460</v>
      </c>
      <c r="D102" s="86">
        <f>SUM(D92:D101)</f>
        <v>8875</v>
      </c>
      <c r="E102" s="86">
        <f>SUM(E92:E101)</f>
        <v>0</v>
      </c>
      <c r="F102" s="86">
        <f>SUM(F92:F101)</f>
        <v>1352</v>
      </c>
      <c r="G102" s="86">
        <f>SUM(G92:G101)</f>
        <v>50000</v>
      </c>
    </row>
    <row r="103" spans="1:7" ht="12.75" thickTop="1" thickBot="1" x14ac:dyDescent="0.25">
      <c r="A103" s="33" t="s">
        <v>765</v>
      </c>
      <c r="C103" s="86">
        <f>C62+C80+C90+C102</f>
        <v>15778446</v>
      </c>
      <c r="D103" s="86">
        <f>D62+D80+D90+D102</f>
        <v>469394</v>
      </c>
      <c r="E103" s="86">
        <f>E62+E80+E90+E102</f>
        <v>743330</v>
      </c>
      <c r="F103" s="86">
        <f>F62+F80+F90+F102</f>
        <v>1461</v>
      </c>
      <c r="G103" s="86">
        <f>G62+G80+G102</f>
        <v>53227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5929776</v>
      </c>
      <c r="D108" s="24" t="s">
        <v>289</v>
      </c>
      <c r="E108" s="95">
        <f>('DOE25'!L275)+('DOE25'!L294)+('DOE25'!L313)</f>
        <v>264963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1308310</v>
      </c>
      <c r="D109" s="24" t="s">
        <v>289</v>
      </c>
      <c r="E109" s="95">
        <f>('DOE25'!L276)+('DOE25'!L295)+('DOE25'!L314)</f>
        <v>315249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144974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253316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7636376</v>
      </c>
      <c r="D114" s="86">
        <f>SUM(D108:D113)</f>
        <v>0</v>
      </c>
      <c r="E114" s="86">
        <f>SUM(E108:E113)</f>
        <v>580212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1053673</v>
      </c>
      <c r="D117" s="24" t="s">
        <v>289</v>
      </c>
      <c r="E117" s="95">
        <f>+('DOE25'!L280)+('DOE25'!L299)+('DOE25'!L318)</f>
        <v>25065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344988</v>
      </c>
      <c r="D118" s="24" t="s">
        <v>289</v>
      </c>
      <c r="E118" s="95">
        <f>+('DOE25'!L281)+('DOE25'!L300)+('DOE25'!L319)</f>
        <v>83718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584293</v>
      </c>
      <c r="D119" s="24" t="s">
        <v>289</v>
      </c>
      <c r="E119" s="95">
        <f>+('DOE25'!L282)+('DOE25'!L301)+('DOE25'!L320)</f>
        <v>52328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1019284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244555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1513298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702953</v>
      </c>
      <c r="D123" s="24" t="s">
        <v>289</v>
      </c>
      <c r="E123" s="95">
        <f>+('DOE25'!L286)+('DOE25'!L305)+('DOE25'!L324)</f>
        <v>1080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192519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469395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5655563</v>
      </c>
      <c r="D127" s="86">
        <f>SUM(D117:D126)</f>
        <v>469395</v>
      </c>
      <c r="E127" s="86">
        <f>SUM(E117:E126)</f>
        <v>162191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236783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1480000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1153460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8875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1352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3227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-3227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2693687</v>
      </c>
      <c r="D143" s="141">
        <f>SUM(D129:D142)</f>
        <v>0</v>
      </c>
      <c r="E143" s="141">
        <f>SUM(E129:E142)</f>
        <v>0</v>
      </c>
      <c r="F143" s="141">
        <f>SUM(F129:F142)</f>
        <v>236783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15985626</v>
      </c>
      <c r="D144" s="86">
        <f>(D114+D127+D143)</f>
        <v>469395</v>
      </c>
      <c r="E144" s="86">
        <f>(E114+E127+E143)</f>
        <v>742403</v>
      </c>
      <c r="F144" s="86">
        <f>(F114+F127+F143)</f>
        <v>236783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16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6/10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9/26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23623315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5.39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22140000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22140000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14800000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14800000</v>
      </c>
    </row>
    <row r="158" spans="1:9" x14ac:dyDescent="0.2">
      <c r="A158" s="22" t="s">
        <v>35</v>
      </c>
      <c r="B158" s="137">
        <f>'DOE25'!F497</f>
        <v>20660000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20660000</v>
      </c>
    </row>
    <row r="159" spans="1:9" x14ac:dyDescent="0.2">
      <c r="A159" s="22" t="s">
        <v>36</v>
      </c>
      <c r="B159" s="137">
        <f>'DOE25'!F498</f>
        <v>7791785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7791785</v>
      </c>
    </row>
    <row r="160" spans="1:9" x14ac:dyDescent="0.2">
      <c r="A160" s="22" t="s">
        <v>37</v>
      </c>
      <c r="B160" s="137">
        <f>'DOE25'!F499</f>
        <v>28451785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28451785</v>
      </c>
    </row>
    <row r="161" spans="1:7" x14ac:dyDescent="0.2">
      <c r="A161" s="22" t="s">
        <v>38</v>
      </c>
      <c r="B161" s="137">
        <f>'DOE25'!F500</f>
        <v>1480000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1480000</v>
      </c>
    </row>
    <row r="162" spans="1:7" x14ac:dyDescent="0.2">
      <c r="A162" s="22" t="s">
        <v>39</v>
      </c>
      <c r="B162" s="137">
        <f>'DOE25'!F501</f>
        <v>1073688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1073688</v>
      </c>
    </row>
    <row r="163" spans="1:7" x14ac:dyDescent="0.2">
      <c r="A163" s="22" t="s">
        <v>246</v>
      </c>
      <c r="B163" s="137">
        <f>'DOE25'!F502</f>
        <v>2553688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2553688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6" t="s">
        <v>717</v>
      </c>
      <c r="B2" s="185" t="str">
        <f>'DOE25'!A2</f>
        <v>Mascenic Regional</v>
      </c>
    </row>
    <row r="3" spans="1:4" x14ac:dyDescent="0.2">
      <c r="B3" s="187" t="s">
        <v>904</v>
      </c>
    </row>
    <row r="4" spans="1:4" x14ac:dyDescent="0.2">
      <c r="B4" t="s">
        <v>61</v>
      </c>
      <c r="C4" s="178">
        <f>IF('DOE25'!F664+'DOE25'!F669=0,0,ROUND('DOE25'!F671,0))</f>
        <v>10782</v>
      </c>
    </row>
    <row r="5" spans="1:4" x14ac:dyDescent="0.2">
      <c r="B5" t="s">
        <v>704</v>
      </c>
      <c r="C5" s="178">
        <f>IF('DOE25'!G664+'DOE25'!G669=0,0,ROUND('DOE25'!G671,0))</f>
        <v>11191</v>
      </c>
    </row>
    <row r="6" spans="1:4" x14ac:dyDescent="0.2">
      <c r="B6" t="s">
        <v>62</v>
      </c>
      <c r="C6" s="178">
        <f>IF('DOE25'!H664+'DOE25'!H669=0,0,ROUND('DOE25'!H671,0))</f>
        <v>12550</v>
      </c>
    </row>
    <row r="7" spans="1:4" x14ac:dyDescent="0.2">
      <c r="B7" t="s">
        <v>705</v>
      </c>
      <c r="C7" s="178">
        <f>IF('DOE25'!I664+'DOE25'!I669=0,0,ROUND('DOE25'!I671,0))</f>
        <v>11476</v>
      </c>
    </row>
    <row r="9" spans="1:4" x14ac:dyDescent="0.2">
      <c r="A9" s="186" t="s">
        <v>94</v>
      </c>
      <c r="B9" s="187" t="s">
        <v>905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6194739</v>
      </c>
      <c r="D10" s="181">
        <f>ROUND((C10/$C$28)*100,1)</f>
        <v>40.1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1623559</v>
      </c>
      <c r="D11" s="181">
        <f>ROUND((C11/$C$28)*100,1)</f>
        <v>10.5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144974</v>
      </c>
      <c r="D12" s="181">
        <f>ROUND((C12/$C$28)*100,1)</f>
        <v>0.9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253316</v>
      </c>
      <c r="D13" s="181">
        <f>ROUND((C13/$C$28)*100,1)</f>
        <v>1.6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1078738</v>
      </c>
      <c r="D15" s="181">
        <f t="shared" ref="D15:D27" si="0">ROUND((C15/$C$28)*100,1)</f>
        <v>7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428706</v>
      </c>
      <c r="D16" s="181">
        <f t="shared" si="0"/>
        <v>2.8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829140</v>
      </c>
      <c r="D17" s="181">
        <f t="shared" si="0"/>
        <v>5.4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1019284</v>
      </c>
      <c r="D18" s="181">
        <f t="shared" si="0"/>
        <v>6.6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244555</v>
      </c>
      <c r="D19" s="181">
        <f t="shared" si="0"/>
        <v>1.6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1513298</v>
      </c>
      <c r="D20" s="181">
        <f t="shared" si="0"/>
        <v>9.8000000000000007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704033</v>
      </c>
      <c r="D21" s="181">
        <f t="shared" si="0"/>
        <v>4.5999999999999996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ROUND('DOE25'!L260+'DOE25'!L341,0)</f>
        <v>1153460</v>
      </c>
      <c r="D25" s="181">
        <f t="shared" si="0"/>
        <v>7.5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247506</v>
      </c>
      <c r="D27" s="181">
        <f t="shared" si="0"/>
        <v>1.6</v>
      </c>
    </row>
    <row r="28" spans="1:4" x14ac:dyDescent="0.2">
      <c r="B28" s="186" t="s">
        <v>723</v>
      </c>
      <c r="C28" s="179">
        <f>SUM(C10:C27)</f>
        <v>15435308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236783</v>
      </c>
    </row>
    <row r="30" spans="1:4" x14ac:dyDescent="0.2">
      <c r="B30" s="186" t="s">
        <v>729</v>
      </c>
      <c r="C30" s="179">
        <f>SUM(C28:C29)</f>
        <v>15672091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1480000</v>
      </c>
    </row>
    <row r="34" spans="1:4" x14ac:dyDescent="0.2">
      <c r="A34" s="186" t="s">
        <v>94</v>
      </c>
      <c r="B34" s="187" t="s">
        <v>906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6558214</v>
      </c>
      <c r="D35" s="181">
        <f t="shared" ref="D35:D40" si="1">ROUND((C35/$C$41)*100,1)</f>
        <v>39.1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1400551</v>
      </c>
      <c r="D36" s="181">
        <f t="shared" si="1"/>
        <v>8.4</v>
      </c>
    </row>
    <row r="37" spans="1:4" x14ac:dyDescent="0.2">
      <c r="A37" s="182" t="s">
        <v>851</v>
      </c>
      <c r="B37" s="184" t="s">
        <v>732</v>
      </c>
      <c r="C37" s="178">
        <f>ROUND('DOE25'!F116+'DOE25'!F117,0)</f>
        <v>6548007</v>
      </c>
      <c r="D37" s="181">
        <f t="shared" si="1"/>
        <v>39.1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1180143</v>
      </c>
      <c r="D38" s="181">
        <f t="shared" si="1"/>
        <v>7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1076827</v>
      </c>
      <c r="D39" s="181">
        <f t="shared" si="1"/>
        <v>6.4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16763742</v>
      </c>
      <c r="D41" s="183">
        <f>SUM(D35:D40)</f>
        <v>100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32" sqref="C32:M3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2"/>
      <c r="K1" s="212"/>
      <c r="L1" s="212"/>
      <c r="M1" s="213"/>
    </row>
    <row r="2" spans="1:26" ht="12.75" x14ac:dyDescent="0.2">
      <c r="A2" s="292" t="s">
        <v>767</v>
      </c>
      <c r="B2" s="293"/>
      <c r="C2" s="293"/>
      <c r="D2" s="293"/>
      <c r="E2" s="293"/>
      <c r="F2" s="290" t="str">
        <f>'DOE25'!A2</f>
        <v>Mascenic Regional</v>
      </c>
      <c r="G2" s="291"/>
      <c r="H2" s="291"/>
      <c r="I2" s="291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7"/>
      <c r="B4" s="218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0"/>
      <c r="O29" s="210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6"/>
      <c r="AB29" s="206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6"/>
      <c r="AO29" s="206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6"/>
      <c r="BB29" s="206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6"/>
      <c r="BO29" s="206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6"/>
      <c r="CB29" s="206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6"/>
      <c r="CO29" s="206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6"/>
      <c r="DB29" s="206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6"/>
      <c r="DO29" s="206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6"/>
      <c r="EB29" s="206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6"/>
      <c r="EO29" s="206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6"/>
      <c r="FB29" s="206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6"/>
      <c r="FO29" s="206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6"/>
      <c r="GB29" s="206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6"/>
      <c r="GO29" s="206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6"/>
      <c r="HB29" s="206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6"/>
      <c r="HO29" s="206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6"/>
      <c r="IB29" s="206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6"/>
      <c r="IO29" s="206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7"/>
      <c r="B30" s="218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0"/>
      <c r="O30" s="210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6"/>
      <c r="AB30" s="206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6"/>
      <c r="AO30" s="206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6"/>
      <c r="BB30" s="206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6"/>
      <c r="BO30" s="206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6"/>
      <c r="CB30" s="206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6"/>
      <c r="CO30" s="206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6"/>
      <c r="DB30" s="206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6"/>
      <c r="DO30" s="206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6"/>
      <c r="EB30" s="206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6"/>
      <c r="EO30" s="206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6"/>
      <c r="FB30" s="206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6"/>
      <c r="FO30" s="206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6"/>
      <c r="GB30" s="206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6"/>
      <c r="GO30" s="206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6"/>
      <c r="HB30" s="206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6"/>
      <c r="HO30" s="206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6"/>
      <c r="IB30" s="206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6"/>
      <c r="IO30" s="206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7"/>
      <c r="B31" s="218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0"/>
      <c r="O31" s="210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6"/>
      <c r="AB31" s="206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6"/>
      <c r="AO31" s="206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6"/>
      <c r="BB31" s="206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6"/>
      <c r="BO31" s="206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6"/>
      <c r="CB31" s="206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6"/>
      <c r="CO31" s="206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6"/>
      <c r="DB31" s="206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6"/>
      <c r="DO31" s="206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6"/>
      <c r="EB31" s="206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6"/>
      <c r="EO31" s="206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6"/>
      <c r="FB31" s="206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6"/>
      <c r="FO31" s="206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6"/>
      <c r="GB31" s="206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6"/>
      <c r="GO31" s="206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6"/>
      <c r="HB31" s="206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6"/>
      <c r="HO31" s="206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6"/>
      <c r="IB31" s="206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6"/>
      <c r="IO31" s="206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7"/>
      <c r="B32" s="218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2"/>
      <c r="O32" s="222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7"/>
      <c r="AB32" s="218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7"/>
      <c r="AO32" s="218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7"/>
      <c r="BB32" s="218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7"/>
      <c r="BO32" s="218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7"/>
      <c r="CB32" s="218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7"/>
      <c r="CO32" s="218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7"/>
      <c r="DB32" s="218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7"/>
      <c r="DO32" s="218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7"/>
      <c r="EB32" s="218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7"/>
      <c r="EO32" s="218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7"/>
      <c r="FB32" s="218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7"/>
      <c r="FO32" s="218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7"/>
      <c r="GB32" s="218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7"/>
      <c r="GO32" s="218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7"/>
      <c r="HB32" s="218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7"/>
      <c r="HO32" s="218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7"/>
      <c r="IB32" s="218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7"/>
      <c r="IO32" s="218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7"/>
      <c r="B33" s="218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0"/>
      <c r="O38" s="210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6"/>
      <c r="AB38" s="206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6"/>
      <c r="AO38" s="206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6"/>
      <c r="BB38" s="206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6"/>
      <c r="BO38" s="206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6"/>
      <c r="CB38" s="206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6"/>
      <c r="CO38" s="206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6"/>
      <c r="DB38" s="206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6"/>
      <c r="DO38" s="206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6"/>
      <c r="EB38" s="206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6"/>
      <c r="EO38" s="206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6"/>
      <c r="FB38" s="206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6"/>
      <c r="FO38" s="206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6"/>
      <c r="GB38" s="206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6"/>
      <c r="GO38" s="206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6"/>
      <c r="HB38" s="206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6"/>
      <c r="HO38" s="206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6"/>
      <c r="IB38" s="206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6"/>
      <c r="IO38" s="206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7"/>
      <c r="B39" s="218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0"/>
      <c r="O39" s="210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6"/>
      <c r="AB39" s="206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6"/>
      <c r="AO39" s="206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6"/>
      <c r="BB39" s="206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6"/>
      <c r="BO39" s="206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6"/>
      <c r="CB39" s="206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6"/>
      <c r="CO39" s="206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6"/>
      <c r="DB39" s="206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6"/>
      <c r="DO39" s="206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6"/>
      <c r="EB39" s="206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6"/>
      <c r="EO39" s="206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6"/>
      <c r="FB39" s="206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6"/>
      <c r="FO39" s="206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6"/>
      <c r="GB39" s="206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6"/>
      <c r="GO39" s="206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6"/>
      <c r="HB39" s="206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6"/>
      <c r="HO39" s="206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6"/>
      <c r="IB39" s="206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6"/>
      <c r="IO39" s="206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7"/>
      <c r="B40" s="218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0"/>
      <c r="O40" s="210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6"/>
      <c r="AB40" s="206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6"/>
      <c r="AO40" s="206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6"/>
      <c r="BB40" s="206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6"/>
      <c r="BO40" s="206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6"/>
      <c r="CB40" s="206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6"/>
      <c r="CO40" s="206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6"/>
      <c r="DB40" s="206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6"/>
      <c r="DO40" s="206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6"/>
      <c r="EB40" s="206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6"/>
      <c r="EO40" s="206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6"/>
      <c r="FB40" s="206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6"/>
      <c r="FO40" s="206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6"/>
      <c r="GB40" s="206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6"/>
      <c r="GO40" s="206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6"/>
      <c r="HB40" s="206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6"/>
      <c r="HO40" s="206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6"/>
      <c r="IB40" s="206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6"/>
      <c r="IO40" s="206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7"/>
      <c r="B41" s="218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7"/>
      <c r="B60" s="218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7"/>
      <c r="B61" s="218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7"/>
      <c r="B62" s="218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7"/>
      <c r="B63" s="218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7"/>
      <c r="B64" s="218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7"/>
      <c r="B65" s="218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7"/>
      <c r="B66" s="218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7"/>
      <c r="B67" s="218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7"/>
      <c r="B68" s="218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7"/>
      <c r="B69" s="218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19"/>
      <c r="B70" s="220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9" t="s">
        <v>848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0"/>
      <c r="B74" s="210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0"/>
      <c r="B75" s="210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0"/>
      <c r="B76" s="210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0"/>
      <c r="B77" s="210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0"/>
      <c r="B78" s="210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0"/>
      <c r="B79" s="210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0"/>
      <c r="B80" s="210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0"/>
      <c r="B81" s="210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0"/>
      <c r="B82" s="210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0"/>
      <c r="B83" s="210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0"/>
      <c r="B84" s="210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0"/>
      <c r="B85" s="210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0"/>
      <c r="B86" s="210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0"/>
      <c r="B87" s="210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0"/>
      <c r="B88" s="210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0"/>
      <c r="B89" s="210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0"/>
      <c r="B90" s="210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2013-09-17T14:10:50Z</cp:lastPrinted>
  <dcterms:created xsi:type="dcterms:W3CDTF">1997-12-04T19:04:30Z</dcterms:created>
  <dcterms:modified xsi:type="dcterms:W3CDTF">2013-12-05T18:52:33Z</dcterms:modified>
</cp:coreProperties>
</file>