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90" windowWidth="12735" windowHeight="64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7" i="1" l="1"/>
  <c r="F471" i="1" l="1"/>
  <c r="C12" i="12" l="1"/>
  <c r="B21" i="12"/>
  <c r="I313" i="1"/>
  <c r="H313" i="1"/>
  <c r="I275" i="1"/>
  <c r="H275" i="1"/>
  <c r="D11" i="13"/>
  <c r="H242" i="1" l="1"/>
  <c r="H206" i="1"/>
  <c r="J206" i="1"/>
  <c r="J242" i="1"/>
  <c r="J603" i="1"/>
  <c r="H603" i="1"/>
  <c r="H207" i="1"/>
  <c r="H243" i="1"/>
  <c r="C21" i="12"/>
  <c r="C20" i="12"/>
  <c r="C19" i="12"/>
  <c r="B20" i="12"/>
  <c r="B19" i="12"/>
  <c r="C11" i="12"/>
  <c r="C10" i="12"/>
  <c r="B12" i="12"/>
  <c r="B11" i="12"/>
  <c r="B10" i="12"/>
  <c r="G232" i="1"/>
  <c r="G196" i="1"/>
  <c r="H319" i="1"/>
  <c r="H281" i="1"/>
  <c r="H318" i="1"/>
  <c r="H280" i="1"/>
  <c r="J314" i="1"/>
  <c r="I314" i="1"/>
  <c r="H314" i="1"/>
  <c r="G314" i="1"/>
  <c r="F314" i="1"/>
  <c r="J313" i="1"/>
  <c r="J276" i="1"/>
  <c r="I276" i="1"/>
  <c r="H276" i="1"/>
  <c r="G276" i="1"/>
  <c r="F276" i="1"/>
  <c r="J275" i="1"/>
  <c r="K275" i="1"/>
  <c r="G275" i="1"/>
  <c r="F275" i="1"/>
  <c r="I316" i="1"/>
  <c r="G313" i="1"/>
  <c r="F313" i="1"/>
  <c r="H471" i="1" l="1"/>
  <c r="H467" i="1"/>
  <c r="J467" i="1"/>
  <c r="F49" i="1"/>
  <c r="F9" i="1"/>
  <c r="H196" i="1"/>
  <c r="H244" i="1" l="1"/>
  <c r="H208" i="1"/>
  <c r="I242" i="1"/>
  <c r="G242" i="1"/>
  <c r="F242" i="1"/>
  <c r="I206" i="1"/>
  <c r="G206" i="1"/>
  <c r="F206" i="1"/>
  <c r="K239" i="1"/>
  <c r="J239" i="1"/>
  <c r="I239" i="1"/>
  <c r="G239" i="1"/>
  <c r="H239" i="1"/>
  <c r="F239" i="1"/>
  <c r="K203" i="1"/>
  <c r="J203" i="1"/>
  <c r="I203" i="1"/>
  <c r="H203" i="1"/>
  <c r="G203" i="1"/>
  <c r="F203" i="1"/>
  <c r="I238" i="1"/>
  <c r="I202" i="1"/>
  <c r="H238" i="1"/>
  <c r="H202" i="1"/>
  <c r="H237" i="1"/>
  <c r="H201" i="1"/>
  <c r="I233" i="1"/>
  <c r="H233" i="1"/>
  <c r="G233" i="1"/>
  <c r="F233" i="1"/>
  <c r="I197" i="1"/>
  <c r="H197" i="1"/>
  <c r="G197" i="1"/>
  <c r="F197" i="1"/>
  <c r="H235" i="1"/>
  <c r="H199" i="1"/>
  <c r="K233" i="1"/>
  <c r="J233" i="1"/>
  <c r="J197" i="1"/>
  <c r="J232" i="1" l="1"/>
  <c r="I232" i="1"/>
  <c r="H232" i="1"/>
  <c r="F232" i="1"/>
  <c r="J196" i="1"/>
  <c r="I196" i="1"/>
  <c r="F196" i="1"/>
  <c r="H359" i="1"/>
  <c r="H357" i="1"/>
  <c r="I522" i="1" l="1"/>
  <c r="I520" i="1"/>
  <c r="G522" i="1"/>
  <c r="G520" i="1"/>
  <c r="F522" i="1"/>
  <c r="F520" i="1"/>
  <c r="J522" i="1"/>
  <c r="J520" i="1"/>
  <c r="I527" i="1"/>
  <c r="I525" i="1"/>
  <c r="H527" i="1"/>
  <c r="H525" i="1"/>
  <c r="G525" i="1"/>
  <c r="G527" i="1"/>
  <c r="F527" i="1"/>
  <c r="F525" i="1"/>
  <c r="H537" i="1"/>
  <c r="H535" i="1"/>
  <c r="K532" i="1"/>
  <c r="K530" i="1"/>
  <c r="I532" i="1"/>
  <c r="I530" i="1"/>
  <c r="H532" i="1"/>
  <c r="H530" i="1"/>
  <c r="G532" i="1"/>
  <c r="G530" i="1"/>
  <c r="F532" i="1"/>
  <c r="F530" i="1"/>
  <c r="H542" i="1"/>
  <c r="H540" i="1"/>
  <c r="I612" i="1"/>
  <c r="I610" i="1"/>
  <c r="H612" i="1"/>
  <c r="H610" i="1"/>
  <c r="G612" i="1"/>
  <c r="F612" i="1"/>
  <c r="G610" i="1"/>
  <c r="F610" i="1"/>
  <c r="H594" i="1"/>
  <c r="H593" i="1"/>
  <c r="J590" i="1"/>
  <c r="H590" i="1"/>
  <c r="J591" i="1"/>
  <c r="H591" i="1"/>
  <c r="I240" i="1"/>
  <c r="H240" i="1"/>
  <c r="G240" i="1"/>
  <c r="F240" i="1"/>
  <c r="J238" i="1"/>
  <c r="G238" i="1"/>
  <c r="F238" i="1"/>
  <c r="I237" i="1"/>
  <c r="G237" i="1"/>
  <c r="F237" i="1"/>
  <c r="K237" i="1"/>
  <c r="J237" i="1"/>
  <c r="K235" i="1"/>
  <c r="I235" i="1"/>
  <c r="G235" i="1"/>
  <c r="F235" i="1"/>
  <c r="H234" i="1"/>
  <c r="K232" i="1"/>
  <c r="I204" i="1"/>
  <c r="H204" i="1"/>
  <c r="G204" i="1"/>
  <c r="F204" i="1"/>
  <c r="F202" i="1"/>
  <c r="J202" i="1"/>
  <c r="G202" i="1"/>
  <c r="I201" i="1"/>
  <c r="G201" i="1"/>
  <c r="F201" i="1"/>
  <c r="J201" i="1"/>
  <c r="K199" i="1"/>
  <c r="J199" i="1"/>
  <c r="I199" i="1"/>
  <c r="G199" i="1"/>
  <c r="F199" i="1"/>
  <c r="K196" i="1"/>
  <c r="H158" i="1" l="1"/>
  <c r="H154" i="1"/>
  <c r="H153" i="1"/>
  <c r="G96" i="1"/>
  <c r="H48" i="1"/>
  <c r="H30" i="1"/>
  <c r="H22" i="1"/>
  <c r="H17" i="1"/>
  <c r="H14" i="1"/>
  <c r="H13" i="1"/>
  <c r="G48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C119" i="2" s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3" i="10"/>
  <c r="C15" i="10"/>
  <c r="C16" i="10"/>
  <c r="C17" i="10"/>
  <c r="C18" i="10"/>
  <c r="C19" i="10"/>
  <c r="C20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10" i="1"/>
  <c r="L228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F129" i="2" s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C114" i="2" s="1"/>
  <c r="C109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E117" i="2"/>
  <c r="C118" i="2"/>
  <c r="E118" i="2"/>
  <c r="E119" i="2"/>
  <c r="C120" i="2"/>
  <c r="E120" i="2"/>
  <c r="C121" i="2"/>
  <c r="E121" i="2"/>
  <c r="E122" i="2"/>
  <c r="C123" i="2"/>
  <c r="E123" i="2"/>
  <c r="C124" i="2"/>
  <c r="E124" i="2"/>
  <c r="D126" i="2"/>
  <c r="D127" i="2" s="1"/>
  <c r="F127" i="2"/>
  <c r="G127" i="2"/>
  <c r="C129" i="2"/>
  <c r="E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 s="1"/>
  <c r="G649" i="1"/>
  <c r="G650" i="1"/>
  <c r="J650" i="1" s="1"/>
  <c r="G651" i="1"/>
  <c r="H651" i="1"/>
  <c r="G652" i="1"/>
  <c r="H652" i="1"/>
  <c r="G653" i="1"/>
  <c r="H653" i="1"/>
  <c r="H654" i="1"/>
  <c r="F191" i="1"/>
  <c r="L255" i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L350" i="1"/>
  <c r="I661" i="1"/>
  <c r="A31" i="12"/>
  <c r="C69" i="2"/>
  <c r="A40" i="12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G158" i="2"/>
  <c r="C90" i="2"/>
  <c r="G80" i="2"/>
  <c r="F77" i="2"/>
  <c r="F80" i="2" s="1"/>
  <c r="F61" i="2"/>
  <c r="F62" i="2" s="1"/>
  <c r="D31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J616" i="1"/>
  <c r="E77" i="2"/>
  <c r="E80" i="2" s="1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H256" i="1"/>
  <c r="H270" i="1" s="1"/>
  <c r="I551" i="1"/>
  <c r="K548" i="1"/>
  <c r="K549" i="1"/>
  <c r="G22" i="2"/>
  <c r="K544" i="1"/>
  <c r="J551" i="1"/>
  <c r="H551" i="1"/>
  <c r="C29" i="10"/>
  <c r="I660" i="1"/>
  <c r="H139" i="1"/>
  <c r="L400" i="1"/>
  <c r="C138" i="2" s="1"/>
  <c r="L392" i="1"/>
  <c r="F22" i="13"/>
  <c r="H25" i="13"/>
  <c r="C25" i="13" s="1"/>
  <c r="J639" i="1"/>
  <c r="J633" i="1"/>
  <c r="H570" i="1"/>
  <c r="L559" i="1"/>
  <c r="J544" i="1"/>
  <c r="H337" i="1"/>
  <c r="H351" i="1" s="1"/>
  <c r="G191" i="1"/>
  <c r="H191" i="1"/>
  <c r="E127" i="2"/>
  <c r="F551" i="1"/>
  <c r="C35" i="10"/>
  <c r="L308" i="1"/>
  <c r="E16" i="13"/>
  <c r="C49" i="2"/>
  <c r="C50" i="2" s="1"/>
  <c r="J654" i="1"/>
  <c r="J644" i="1"/>
  <c r="L569" i="1"/>
  <c r="I570" i="1"/>
  <c r="I544" i="1"/>
  <c r="G36" i="2"/>
  <c r="L564" i="1"/>
  <c r="G544" i="1"/>
  <c r="L544" i="1"/>
  <c r="H544" i="1"/>
  <c r="K550" i="1"/>
  <c r="C22" i="13"/>
  <c r="C137" i="2"/>
  <c r="C16" i="13"/>
  <c r="H33" i="13"/>
  <c r="L381" i="1" l="1"/>
  <c r="G635" i="1" s="1"/>
  <c r="J635" i="1" s="1"/>
  <c r="C122" i="2"/>
  <c r="A13" i="12"/>
  <c r="F337" i="1"/>
  <c r="F351" i="1" s="1"/>
  <c r="E108" i="2"/>
  <c r="E114" i="2" s="1"/>
  <c r="E144" i="2" s="1"/>
  <c r="C10" i="10"/>
  <c r="L289" i="1"/>
  <c r="F659" i="1" s="1"/>
  <c r="F663" i="1" s="1"/>
  <c r="F666" i="1" s="1"/>
  <c r="E8" i="13"/>
  <c r="C8" i="13" s="1"/>
  <c r="K551" i="1"/>
  <c r="K597" i="1"/>
  <c r="G646" i="1" s="1"/>
  <c r="J646" i="1" s="1"/>
  <c r="D12" i="13"/>
  <c r="C12" i="13" s="1"/>
  <c r="L246" i="1"/>
  <c r="H659" i="1" s="1"/>
  <c r="C117" i="2"/>
  <c r="C127" i="2" s="1"/>
  <c r="D5" i="13"/>
  <c r="C5" i="13" s="1"/>
  <c r="C24" i="10"/>
  <c r="G659" i="1"/>
  <c r="G663" i="1" s="1"/>
  <c r="G666" i="1" s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J19" i="1"/>
  <c r="G620" i="1" s="1"/>
  <c r="F33" i="13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G634" i="1"/>
  <c r="J634" i="1" s="1"/>
  <c r="C144" i="2" l="1"/>
  <c r="L256" i="1"/>
  <c r="L270" i="1" s="1"/>
  <c r="G631" i="1" s="1"/>
  <c r="J631" i="1" s="1"/>
  <c r="C28" i="10"/>
  <c r="L337" i="1"/>
  <c r="L351" i="1" s="1"/>
  <c r="G632" i="1" s="1"/>
  <c r="J632" i="1" s="1"/>
  <c r="D31" i="13"/>
  <c r="C31" i="13" s="1"/>
  <c r="H645" i="1"/>
  <c r="E33" i="13"/>
  <c r="D35" i="13" s="1"/>
  <c r="G671" i="1"/>
  <c r="C5" i="10" s="1"/>
  <c r="F671" i="1"/>
  <c r="C4" i="10" s="1"/>
  <c r="H663" i="1"/>
  <c r="I659" i="1"/>
  <c r="I663" i="1" s="1"/>
  <c r="I671" i="1" s="1"/>
  <c r="C7" i="10" s="1"/>
  <c r="G630" i="1"/>
  <c r="J630" i="1" s="1"/>
  <c r="J645" i="1"/>
  <c r="G192" i="1"/>
  <c r="G627" i="1" s="1"/>
  <c r="J627" i="1" s="1"/>
  <c r="G625" i="1"/>
  <c r="J625" i="1" s="1"/>
  <c r="J51" i="1"/>
  <c r="H620" i="1" s="1"/>
  <c r="J620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D33" i="13" l="1"/>
  <c r="D36" i="13" s="1"/>
  <c r="H671" i="1"/>
  <c r="C6" i="10" s="1"/>
  <c r="H666" i="1"/>
  <c r="I666" i="1"/>
  <c r="H655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<sst xmlns="http://schemas.openxmlformats.org/spreadsheetml/2006/main" count="3951" uniqueCount="914">
  <si>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</si>
  <si>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</si>
  <si>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</si>
  <si>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</si>
  <si>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</si>
  <si>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</si>
  <si>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</si>
  <si>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</si>
  <si>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</si>
  <si>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</si>
  <si>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</si>
  <si>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</si>
  <si>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</si>
  <si>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</si>
  <si>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</si>
  <si>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</si>
  <si>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</si>
  <si>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</si>
  <si>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</si>
  <si>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</si>
  <si>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</si>
  <si>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</si>
  <si>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</si>
  <si>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</si>
  <si>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</si>
  <si>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</si>
  <si>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</si>
  <si>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</si>
  <si>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</si>
  <si>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</si>
  <si>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</si>
  <si>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</si>
  <si>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</si>
  <si>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</si>
  <si>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</si>
  <si>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</si>
  <si>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</si>
  <si>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</si>
  <si>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</si>
  <si>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</si>
  <si>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</si>
  <si>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</si>
  <si>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</si>
  <si>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</si>
  <si>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</si>
  <si>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</si>
  <si>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</si>
  <si>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</si>
  <si>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</si>
  <si>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</si>
  <si>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</si>
  <si>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</si>
  <si>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</si>
  <si>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</si>
  <si>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</si>
  <si>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</si>
  <si>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</si>
  <si>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</si>
  <si>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</si>
  <si>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</si>
  <si>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</si>
  <si>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</si>
  <si>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</si>
  <si>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</si>
  <si>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</si>
  <si>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</si>
  <si>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</si>
  <si>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</si>
  <si>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</si>
  <si>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</si>
  <si>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</si>
  <si>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</si>
  <si>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</si>
  <si>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</si>
  <si>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</si>
  <si>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</si>
  <si>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</si>
  <si>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</si>
  <si>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</si>
  <si>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</si>
  <si>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</si>
  <si>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</si>
  <si>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</si>
  <si>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</si>
  <si>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</si>
  <si>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</si>
  <si>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</si>
  <si>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</si>
  <si>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</si>
  <si>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</si>
  <si>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</si>
  <si>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</si>
  <si>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</si>
  <si>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</si>
  <si>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</si>
  <si>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</si>
  <si>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</si>
  <si>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</si>
  <si>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</si>
  <si>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</si>
  <si>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</si>
  <si>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</si>
  <si>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</si>
  <si>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</si>
  <si>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</si>
  <si>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</si>
  <si>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</si>
  <si>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</si>
  <si>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</si>
  <si>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</si>
  <si>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</si>
  <si>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</si>
  <si>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</si>
  <si>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</si>
  <si>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</si>
  <si>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</si>
  <si>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</si>
  <si>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</si>
  <si>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</si>
  <si>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</si>
  <si>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</si>
  <si>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</si>
  <si>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</si>
  <si>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</si>
  <si>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</si>
  <si>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</si>
  <si>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</si>
  <si>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</si>
  <si>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</si>
  <si>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</si>
  <si>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</si>
  <si>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</si>
  <si>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</si>
  <si>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</si>
  <si>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</si>
  <si>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</si>
  <si>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</si>
  <si>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</si>
  <si>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</si>
  <si>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</si>
  <si>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</si>
  <si>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</si>
  <si>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</si>
  <si>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</si>
  <si>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</si>
  <si>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</si>
  <si>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</si>
  <si>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</si>
  <si>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</si>
  <si>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</si>
  <si>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</si>
  <si>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</si>
  <si>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</si>
  <si>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</si>
  <si>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</si>
  <si>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</si>
  <si>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</si>
  <si>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</si>
  <si>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</si>
  <si>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</si>
  <si>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</si>
  <si>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</si>
  <si>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</si>
  <si>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</si>
  <si>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</si>
  <si>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</si>
  <si>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</si>
  <si>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</si>
  <si>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</si>
  <si>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</si>
  <si>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</si>
  <si>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</si>
  <si>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</si>
  <si>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</si>
  <si>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</si>
  <si>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</si>
  <si>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</si>
  <si>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</si>
  <si>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</si>
  <si>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</si>
  <si>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</si>
  <si>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</si>
  <si>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</si>
  <si>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</si>
  <si>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</si>
  <si>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</si>
  <si>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</si>
  <si>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</si>
  <si>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</si>
  <si>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</si>
  <si>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</si>
  <si>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</si>
  <si>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</si>
  <si>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</si>
  <si>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</si>
  <si>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</si>
  <si>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</si>
  <si>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</si>
  <si>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</si>
  <si>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</si>
  <si>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</si>
  <si>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</si>
  <si>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</si>
  <si>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</si>
  <si>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</si>
  <si>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</si>
  <si>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</si>
  <si>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</si>
  <si>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</si>
  <si>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</si>
  <si>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</si>
  <si>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</si>
  <si>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</si>
  <si>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</si>
  <si>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</si>
  <si>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</si>
  <si>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</si>
  <si>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</si>
  <si>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</si>
  <si>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</si>
  <si>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</si>
  <si>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</si>
  <si>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</si>
  <si>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</si>
  <si>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</si>
  <si>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</si>
  <si>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</si>
  <si>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</si>
  <si>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</si>
  <si>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</si>
  <si>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</si>
  <si>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</si>
  <si>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</si>
  <si>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</si>
  <si>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</si>
  <si>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</si>
  <si>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</si>
  <si>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</si>
  <si>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</si>
  <si>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</si>
  <si>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</si>
  <si>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</si>
  <si>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</si>
  <si>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</si>
  <si>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</si>
  <si>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</si>
  <si>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</si>
  <si>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</si>
  <si>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</si>
  <si>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</si>
  <si>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</si>
  <si>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</si>
  <si>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</si>
  <si>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</si>
  <si>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</si>
  <si>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</si>
  <si>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</si>
  <si>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</si>
  <si>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</si>
  <si>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</si>
  <si>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</si>
  <si>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</si>
  <si>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</si>
  <si>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</si>
  <si>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</si>
  <si>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</si>
  <si>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</si>
  <si>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</si>
  <si>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</si>
  <si>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</si>
  <si>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</si>
  <si>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</si>
  <si>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</si>
  <si>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</si>
  <si>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</si>
  <si>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</si>
  <si>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</si>
  <si>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</si>
  <si>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</si>
  <si>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</si>
  <si>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</si>
  <si>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</si>
  <si>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</si>
  <si>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</si>
  <si>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</si>
  <si>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</si>
  <si>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</si>
  <si>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</si>
  <si>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</si>
  <si>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</si>
  <si>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</si>
  <si>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</si>
  <si>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</si>
  <si>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</si>
  <si>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</si>
  <si>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</si>
  <si>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</si>
  <si>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</si>
  <si>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</si>
  <si>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</si>
  <si>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</si>
  <si>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</si>
  <si>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</si>
  <si>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</si>
  <si>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</si>
  <si>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</si>
  <si>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</si>
  <si>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</si>
  <si>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</si>
  <si>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</si>
  <si>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</si>
  <si>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</si>
  <si>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</si>
  <si>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</si>
  <si>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</si>
  <si>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</si>
  <si>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</si>
  <si>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</si>
  <si>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</si>
  <si>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</si>
  <si>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</si>
  <si>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</si>
  <si>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</si>
  <si>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</si>
  <si>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</si>
  <si>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</si>
  <si>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</si>
  <si>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</si>
  <si>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</si>
  <si>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</si>
  <si>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</si>
  <si>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</si>
  <si>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</si>
  <si>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</si>
  <si>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</si>
  <si>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</si>
  <si>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</si>
  <si>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</si>
  <si>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</si>
  <si>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</si>
  <si>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</si>
  <si>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</si>
  <si>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</si>
  <si>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</si>
  <si>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</si>
  <si>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</si>
  <si>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</si>
  <si>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</si>
  <si>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</si>
  <si>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</si>
  <si>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</si>
  <si>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</si>
  <si>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</si>
  <si>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</si>
  <si>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</si>
  <si>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</si>
  <si>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</si>
  <si>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</si>
  <si>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</si>
  <si>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</si>
  <si>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</si>
  <si>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</si>
  <si>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</si>
  <si>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</si>
  <si>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</si>
  <si>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</si>
  <si>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</si>
  <si>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</si>
  <si>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</si>
  <si>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</si>
  <si>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</si>
  <si>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</si>
  <si>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</si>
  <si>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</si>
  <si>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</si>
  <si>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</si>
  <si>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</si>
  <si>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</si>
  <si>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</si>
  <si>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</si>
  <si>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</si>
  <si>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</si>
  <si>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</si>
  <si>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</si>
  <si>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</si>
  <si>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</si>
  <si>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</si>
  <si>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</si>
  <si>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</si>
  <si>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</si>
  <si>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</si>
  <si>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</si>
  <si>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</si>
  <si>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</si>
  <si>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</si>
  <si>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</si>
  <si>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</si>
  <si>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</si>
  <si>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</si>
  <si>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</si>
  <si>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</si>
  <si>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</si>
  <si>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</si>
  <si>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</si>
  <si>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</si>
  <si>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</si>
  <si>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</si>
  <si>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</si>
  <si>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</si>
  <si>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</si>
  <si>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</si>
  <si>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</si>
  <si>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</si>
  <si>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</si>
  <si>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</si>
  <si>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</si>
  <si>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</si>
  <si>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</si>
  <si>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</si>
  <si>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</si>
  <si>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</si>
  <si>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</si>
  <si>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</si>
  <si>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</si>
  <si>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</si>
  <si>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</si>
  <si>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</si>
  <si>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</si>
  <si>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</si>
  <si>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</si>
  <si>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</si>
  <si>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</si>
  <si>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</si>
  <si>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</si>
  <si>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</si>
  <si>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</si>
  <si>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</si>
  <si>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</si>
  <si>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</si>
  <si>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</si>
  <si>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</si>
  <si>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</si>
  <si>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</si>
  <si>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</si>
  <si>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</si>
  <si>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</si>
  <si>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</si>
  <si>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</si>
  <si>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</si>
  <si>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</si>
  <si>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</si>
  <si>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</si>
  <si>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</si>
  <si>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</si>
  <si>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</si>
  <si>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</si>
  <si>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</si>
  <si>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</si>
  <si>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</si>
  <si>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</si>
  <si>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</si>
  <si>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</si>
  <si>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</si>
  <si>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</si>
  <si>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</si>
  <si>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</si>
  <si>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</si>
  <si>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</si>
  <si>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</si>
  <si>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</si>
  <si>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</si>
  <si>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</si>
  <si>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</si>
  <si>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</si>
  <si>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</si>
  <si>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</si>
  <si>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</si>
  <si>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</si>
  <si>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</si>
  <si>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</si>
  <si>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</si>
  <si>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</si>
  <si>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</si>
  <si>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</si>
  <si>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</si>
  <si>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</si>
  <si>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</si>
  <si>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</si>
  <si>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</si>
  <si>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</si>
  <si>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</si>
  <si>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</si>
  <si>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</si>
  <si>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</si>
  <si>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</si>
  <si>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</si>
  <si>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</si>
  <si>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</si>
  <si>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</si>
  <si>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</si>
  <si>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</si>
  <si>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</si>
  <si>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</si>
  <si>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</si>
  <si>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</si>
  <si>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</si>
  <si>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</si>
  <si>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</si>
  <si>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</si>
  <si>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</si>
  <si>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</si>
  <si>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</si>
  <si>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</si>
  <si>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</si>
  <si>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</si>
  <si>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</si>
  <si>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</si>
  <si>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</si>
  <si>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</si>
  <si>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</si>
  <si>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</si>
  <si>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</si>
  <si>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</si>
  <si>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</si>
  <si>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</si>
  <si>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</si>
  <si>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</si>
  <si>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</si>
  <si>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</si>
  <si>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</si>
  <si>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</si>
  <si>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</si>
  <si>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</si>
  <si>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</si>
  <si>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</si>
  <si>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</si>
  <si>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</si>
  <si>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</si>
  <si>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</si>
  <si>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</si>
  <si>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</si>
  <si>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</si>
  <si>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</si>
  <si>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</si>
  <si>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</si>
  <si>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</si>
  <si>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</si>
  <si>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</si>
  <si>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</si>
  <si>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</si>
  <si>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</si>
  <si>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</si>
  <si>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</si>
  <si>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</si>
  <si>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</si>
  <si>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</si>
  <si>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</si>
  <si>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</si>
  <si>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</si>
  <si>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</si>
  <si>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</si>
  <si>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</si>
  <si>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</si>
  <si>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</si>
  <si>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</si>
  <si>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</si>
  <si>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</si>
  <si>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</si>
  <si>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</si>
  <si>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</si>
  <si>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</si>
  <si>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</si>
  <si>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</si>
  <si>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</si>
  <si>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</si>
  <si>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</si>
  <si>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</si>
  <si>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</si>
  <si>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</si>
  <si>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</si>
  <si>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</si>
  <si>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</si>
  <si>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</si>
  <si>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</si>
  <si>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</si>
  <si>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</si>
  <si>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</si>
  <si>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</si>
  <si>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</si>
  <si>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</si>
  <si>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</si>
  <si>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</si>
  <si>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</si>
  <si>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</si>
  <si>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</si>
  <si>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</si>
  <si>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</si>
  <si>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</si>
  <si>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</si>
  <si>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</si>
  <si>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</si>
  <si>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</si>
  <si>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</si>
  <si>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</si>
  <si>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</si>
  <si>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</si>
  <si>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</si>
  <si>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</si>
  <si>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</si>
  <si>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</si>
  <si>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</si>
  <si>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</si>
  <si>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</si>
  <si>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</si>
  <si>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</si>
  <si>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</si>
  <si>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</si>
  <si>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</si>
  <si>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</si>
  <si>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</si>
  <si>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</si>
  <si>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</si>
  <si>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</si>
  <si>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</si>
  <si>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</si>
  <si>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</si>
  <si>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</si>
  <si>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</si>
  <si>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</si>
  <si>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</si>
  <si>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</si>
  <si>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</si>
  <si>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</si>
  <si>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</si>
  <si>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</si>
  <si>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</si>
  <si>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</si>
  <si>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</si>
  <si>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</si>
  <si>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</si>
  <si>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</si>
  <si>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</si>
  <si>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</si>
  <si>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</si>
  <si>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</si>
  <si>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</si>
  <si>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</si>
  <si>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</si>
  <si>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</si>
  <si>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</si>
  <si>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</si>
  <si>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</si>
  <si>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</si>
  <si>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</si>
  <si>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</si>
  <si>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</si>
  <si>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</si>
  <si>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</si>
  <si>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</si>
  <si>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</si>
  <si>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</si>
  <si>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</si>
  <si>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</si>
  <si>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</si>
  <si>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</si>
  <si>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</si>
  <si>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</si>
  <si>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</si>
  <si>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</si>
  <si>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</si>
  <si>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</si>
  <si>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</si>
  <si>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</si>
  <si>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</si>
  <si>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</si>
  <si>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</si>
  <si>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</si>
  <si>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</si>
  <si>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</si>
  <si>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</si>
  <si>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</si>
  <si>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</si>
  <si>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</si>
  <si>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</si>
  <si>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</si>
  <si>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</si>
  <si>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</si>
  <si>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</si>
  <si>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</si>
  <si>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</si>
  <si>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</si>
  <si>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</si>
  <si>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</si>
  <si>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</si>
  <si>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</si>
  <si>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</si>
  <si>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</si>
  <si>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</si>
  <si>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</si>
  <si>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</si>
  <si>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</si>
  <si>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</si>
  <si>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</si>
  <si>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</si>
  <si>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</si>
  <si>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</si>
  <si>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</si>
  <si>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</si>
  <si>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</si>
  <si>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</si>
  <si>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</si>
  <si>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</si>
  <si>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</si>
  <si>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</si>
  <si>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</si>
  <si>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</si>
  <si>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</si>
  <si>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</si>
  <si>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</si>
  <si>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</si>
  <si>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</si>
  <si>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</si>
  <si>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</si>
  <si>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</si>
  <si>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</si>
  <si>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</si>
  <si>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</si>
  <si>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</si>
  <si>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</si>
  <si>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</si>
  <si>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</si>
  <si>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</si>
  <si>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</si>
  <si>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</si>
  <si>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</si>
  <si>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</si>
  <si>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</si>
  <si>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</si>
  <si>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</si>
  <si>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</si>
  <si>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</si>
  <si>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</si>
  <si>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</si>
  <si>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</si>
  <si>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</si>
  <si>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</si>
  <si>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</si>
  <si>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</si>
  <si>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</si>
  <si>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</si>
  <si>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</si>
  <si>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</si>
  <si>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</si>
  <si>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</si>
  <si>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</si>
  <si>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</si>
  <si>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</si>
  <si>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</si>
  <si>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</si>
  <si>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</si>
  <si>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</si>
  <si>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</si>
  <si>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</si>
  <si>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</si>
  <si>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</si>
  <si>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</si>
  <si>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</si>
  <si>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</si>
  <si>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</si>
  <si>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</si>
  <si>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</si>
  <si>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</si>
  <si>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</si>
  <si>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</si>
  <si>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</si>
  <si>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</si>
  <si>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</si>
  <si>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</si>
  <si>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</si>
  <si>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</si>
  <si>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</si>
  <si>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</si>
  <si>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</si>
  <si>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</si>
  <si>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</si>
  <si>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</si>
  <si>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</si>
  <si>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</si>
  <si>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</si>
  <si>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</si>
  <si>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</si>
  <si>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</si>
  <si>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</si>
  <si>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</si>
  <si>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</si>
  <si>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</si>
  <si>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</si>
  <si>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</si>
  <si>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</si>
  <si>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</si>
  <si>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</si>
  <si>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</si>
  <si>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</si>
  <si>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</si>
  <si>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</si>
  <si>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</si>
  <si>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</si>
  <si>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</si>
  <si>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</si>
  <si>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</si>
  <si>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</si>
  <si>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</si>
  <si>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</si>
  <si>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</si>
  <si>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</si>
  <si>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</si>
  <si>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</si>
  <si>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</si>
  <si>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</si>
  <si>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</si>
  <si>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</si>
  <si>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</si>
  <si>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</si>
  <si>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</si>
  <si>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</si>
  <si>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</si>
  <si>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</si>
  <si>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</si>
  <si>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</si>
  <si>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</si>
  <si>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</si>
  <si>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</si>
  <si>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</si>
  <si>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</si>
  <si>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</si>
  <si>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</si>
  <si>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</si>
  <si>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</si>
  <si>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</si>
  <si>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</si>
  <si>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</si>
  <si>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</si>
  <si>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</si>
  <si>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</si>
  <si>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</si>
  <si>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</si>
  <si>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</si>
  <si>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</si>
  <si>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</si>
  <si>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</si>
  <si>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</si>
  <si>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</si>
  <si>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</si>
  <si>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</si>
  <si>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</si>
  <si>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</si>
  <si>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</si>
  <si>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</si>
  <si>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</si>
  <si>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</si>
  <si>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</si>
  <si>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</si>
  <si>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</si>
  <si>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</si>
  <si>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</si>
  <si>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</si>
  <si>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</si>
  <si>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</si>
  <si>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</si>
  <si>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</si>
  <si>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</si>
  <si>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</si>
  <si>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</si>
  <si>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</si>
  <si>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</si>
  <si>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</si>
  <si>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</si>
  <si>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</si>
  <si>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</si>
  <si>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</si>
  <si>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</si>
  <si>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</si>
  <si>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</si>
  <si>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</si>
  <si>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</si>
  <si>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</si>
  <si>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</si>
  <si>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</si>
  <si>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</si>
  <si>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</si>
  <si>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</si>
  <si>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</si>
  <si>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</si>
  <si>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</si>
  <si>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</si>
  <si>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</si>
  <si>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</si>
  <si>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</si>
  <si>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</si>
  <si>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</si>
  <si>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</si>
  <si>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</si>
  <si>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</si>
  <si>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</si>
  <si>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</si>
  <si>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</si>
  <si>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</si>
  <si>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</si>
  <si>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</si>
  <si>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General Fund Payables</t>
  </si>
  <si>
    <t>Intergov AR &amp; Prepaid Expenses</t>
  </si>
  <si>
    <t>05/2013</t>
  </si>
  <si>
    <t>11/2028</t>
  </si>
  <si>
    <t>Mascoma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</si>
</sst>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zoomScaleNormal="75" workbookViewId="0">
      <pane xSplit="5" ySplit="3" topLeftCell="F623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5" t="s">
        <v>913</v>
      </c>
      <c r="B2" s="21">
        <v>343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1319159.11+100+100+75+100+100</f>
        <v>1319634.1100000001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1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1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1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-26311.439999999999</v>
      </c>
      <c r="G12" s="18"/>
      <c r="H12" s="18"/>
      <c r="I12" s="18"/>
      <c r="J12" s="67">
        <f>SUM(I440)</f>
        <v>647265.68000000005</v>
      </c>
      <c r="K12" s="24" t="s">
        <v>289</v>
      </c>
      <c r="L12" s="24" t="s">
        <v>289</v>
      </c>
      <c r="M12" s="8"/>
      <c r="N12" s="271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20</v>
      </c>
      <c r="G13" s="18">
        <v>35886.1</v>
      </c>
      <c r="H13" s="18">
        <f>86240.91</f>
        <v>86240.91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1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2626.14</v>
      </c>
      <c r="H14" s="18">
        <f>2122</f>
        <v>2122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1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1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1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>
        <f>21032.5</f>
        <v>21032.5</v>
      </c>
      <c r="I17" s="18"/>
      <c r="J17" s="67">
        <f>SUM(I443)</f>
        <v>0</v>
      </c>
      <c r="K17" s="24" t="s">
        <v>289</v>
      </c>
      <c r="L17" s="24" t="s">
        <v>289</v>
      </c>
      <c r="M17" s="8"/>
      <c r="N17" s="271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 t="s">
        <v>287</v>
      </c>
      <c r="I18" s="18"/>
      <c r="J18" s="67">
        <f>SUM(I444)</f>
        <v>0</v>
      </c>
      <c r="K18" s="24" t="s">
        <v>289</v>
      </c>
      <c r="L18" s="24" t="s">
        <v>289</v>
      </c>
      <c r="M18" s="8"/>
      <c r="N18" s="271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1293342.6700000002</v>
      </c>
      <c r="G19" s="41">
        <f>SUM(G9:G18)</f>
        <v>38512.239999999998</v>
      </c>
      <c r="H19" s="41">
        <f>SUM(H9:H18)</f>
        <v>109395.41</v>
      </c>
      <c r="I19" s="41">
        <f>SUM(I9:I18)</f>
        <v>0</v>
      </c>
      <c r="J19" s="41">
        <f>SUM(J9:J18)</f>
        <v>647265.68000000005</v>
      </c>
      <c r="K19" s="45" t="s">
        <v>289</v>
      </c>
      <c r="L19" s="45" t="s">
        <v>289</v>
      </c>
      <c r="M19" s="8"/>
      <c r="N19" s="271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1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28537.78</v>
      </c>
      <c r="H22" s="18">
        <f>116395.2-108204.17-29125.38-33914.28</f>
        <v>-54848.630000000005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1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1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14712.49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1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1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1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1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1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-86.78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1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7179</v>
      </c>
      <c r="H30" s="18">
        <f>10650.5</f>
        <v>10650.5</v>
      </c>
      <c r="I30" s="18"/>
      <c r="J30" s="24" t="s">
        <v>289</v>
      </c>
      <c r="K30" s="24" t="s">
        <v>289</v>
      </c>
      <c r="L30" s="24" t="s">
        <v>289</v>
      </c>
      <c r="M30" s="8"/>
      <c r="N30" s="271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1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14625.71</v>
      </c>
      <c r="G32" s="41">
        <f>SUM(G22:G31)</f>
        <v>35716.78</v>
      </c>
      <c r="H32" s="41">
        <f>SUM(H22:H31)</f>
        <v>-44198.130000000005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1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1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1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1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1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1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1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1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1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1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1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1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1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1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1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432734.47</v>
      </c>
      <c r="G47" s="18"/>
      <c r="H47" s="18"/>
      <c r="I47" s="18"/>
      <c r="J47" s="13">
        <f>SUM(I458)</f>
        <v>647265.68000000005</v>
      </c>
      <c r="K47" s="24" t="s">
        <v>289</v>
      </c>
      <c r="L47" s="24" t="s">
        <v>289</v>
      </c>
      <c r="M47" s="8"/>
      <c r="N47" s="271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>
        <f>1376.22+1419.24</f>
        <v>2795.46</v>
      </c>
      <c r="H48" s="18">
        <f>(47037.51+20953.91+61230.83+46973.34+2309.87)-9121.79-15790.13</f>
        <v>153593.53999999998</v>
      </c>
      <c r="I48" s="18"/>
      <c r="J48" s="13">
        <f>I453</f>
        <v>0</v>
      </c>
      <c r="K48" s="24"/>
      <c r="L48" s="24"/>
      <c r="M48" s="8"/>
      <c r="N48" s="271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917398.82-96416.33</f>
        <v>820982.49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1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1278716.96</v>
      </c>
      <c r="G50" s="41">
        <f>SUM(G35:G49)</f>
        <v>2795.46</v>
      </c>
      <c r="H50" s="41">
        <f>SUM(H35:H49)</f>
        <v>153593.53999999998</v>
      </c>
      <c r="I50" s="41">
        <f>SUM(I35:I49)</f>
        <v>0</v>
      </c>
      <c r="J50" s="41">
        <f>SUM(J35:J49)</f>
        <v>647265.68000000005</v>
      </c>
      <c r="K50" s="45" t="s">
        <v>289</v>
      </c>
      <c r="L50" s="45" t="s">
        <v>289</v>
      </c>
      <c r="N50" s="269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1293342.67</v>
      </c>
      <c r="G51" s="41">
        <f>G50+G32</f>
        <v>38512.239999999998</v>
      </c>
      <c r="H51" s="41">
        <f>H50+H32</f>
        <v>109395.40999999997</v>
      </c>
      <c r="I51" s="41">
        <f>I50+I32</f>
        <v>0</v>
      </c>
      <c r="J51" s="41">
        <f>J50+J32</f>
        <v>647265.68000000005</v>
      </c>
      <c r="K51" s="45" t="s">
        <v>289</v>
      </c>
      <c r="L51" s="45" t="s">
        <v>289</v>
      </c>
      <c r="M51" s="8"/>
      <c r="N51" s="271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1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1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1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1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11963124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1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1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2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11963124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2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1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1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>
        <v>53325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1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1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>
        <v>47875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2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1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1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1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1336.32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1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1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1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1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1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1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1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1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1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69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1336.32</v>
      </c>
      <c r="G78" s="45" t="s">
        <v>289</v>
      </c>
      <c r="H78" s="41">
        <f>SUM(H62:H77)</f>
        <v>101200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1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1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1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1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1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1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1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1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1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1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1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1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1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1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1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1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1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3294.24</v>
      </c>
      <c r="G95" s="18"/>
      <c r="H95" s="18"/>
      <c r="I95" s="18"/>
      <c r="J95" s="18">
        <v>473.78</v>
      </c>
      <c r="K95" s="24" t="s">
        <v>289</v>
      </c>
      <c r="L95" s="24" t="s">
        <v>289</v>
      </c>
      <c r="M95" s="8"/>
      <c r="N95" s="271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178968+32703+14853+6362</f>
        <v>232886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1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1966.02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1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1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1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1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88978.49</v>
      </c>
      <c r="I101" s="18"/>
      <c r="J101" s="18"/>
      <c r="K101" s="24" t="s">
        <v>289</v>
      </c>
      <c r="L101" s="24" t="s">
        <v>289</v>
      </c>
      <c r="M101" s="8"/>
      <c r="N101" s="271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1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1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1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1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1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1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1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2245.2199999999998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1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7505.48</v>
      </c>
      <c r="G110" s="41">
        <f>SUM(G95:G109)</f>
        <v>232886</v>
      </c>
      <c r="H110" s="41">
        <f>SUM(H95:H109)</f>
        <v>88978.49</v>
      </c>
      <c r="I110" s="41">
        <f>SUM(I95:I109)</f>
        <v>0</v>
      </c>
      <c r="J110" s="41">
        <f>SUM(J95:J109)</f>
        <v>473.78</v>
      </c>
      <c r="K110" s="45" t="s">
        <v>289</v>
      </c>
      <c r="L110" s="45" t="s">
        <v>289</v>
      </c>
      <c r="N110" s="269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11971965.800000001</v>
      </c>
      <c r="G111" s="41">
        <f>G59+G110</f>
        <v>232886</v>
      </c>
      <c r="H111" s="41">
        <f>H59+H78+H93+H110</f>
        <v>190178.49</v>
      </c>
      <c r="I111" s="41">
        <f>I59+I110</f>
        <v>0</v>
      </c>
      <c r="J111" s="41">
        <f>J59+J110</f>
        <v>473.78</v>
      </c>
      <c r="K111" s="45" t="s">
        <v>289</v>
      </c>
      <c r="L111" s="45" t="s">
        <v>289</v>
      </c>
      <c r="M111" s="8"/>
      <c r="N111" s="271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1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1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1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1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4483907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1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2614555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1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1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1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7098462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1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1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1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1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1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137164.01999999999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1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180059.77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1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17127.240000000002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1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1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1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1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5032.0200000000004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1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1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1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1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334351.02999999997</v>
      </c>
      <c r="G135" s="41">
        <f>SUM(G122:G134)</f>
        <v>5032.0200000000004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1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1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1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1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7432813.0300000003</v>
      </c>
      <c r="G139" s="41">
        <f>G120+SUM(G135:G136)</f>
        <v>5032.0200000000004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1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1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1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3" t="s">
        <v>772</v>
      </c>
      <c r="I142" s="16" t="s">
        <v>284</v>
      </c>
      <c r="J142" s="16" t="s">
        <v>285</v>
      </c>
      <c r="K142" s="20"/>
      <c r="L142" s="20"/>
      <c r="M142" s="8"/>
      <c r="N142" s="271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1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1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1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1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1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1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1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1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1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1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107148.56+168831.08</f>
        <v>275979.64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1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95982.31+22464.37</f>
        <v>118446.68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1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1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1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191573.09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1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339132.06</f>
        <v>339132.06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1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96932.67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1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1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96932.67</v>
      </c>
      <c r="G161" s="41">
        <f>SUM(G149:G160)</f>
        <v>191573.09</v>
      </c>
      <c r="H161" s="41">
        <f>SUM(H149:H160)</f>
        <v>733558.38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1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1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1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2949.58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1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1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1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1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99882.25</v>
      </c>
      <c r="G168" s="41">
        <f>G146+G161+SUM(G162:G167)</f>
        <v>191573.09</v>
      </c>
      <c r="H168" s="41">
        <f>H146+H161+SUM(H162:H167)</f>
        <v>733558.38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1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1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1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3" t="s">
        <v>772</v>
      </c>
      <c r="I171" s="16" t="s">
        <v>284</v>
      </c>
      <c r="J171" s="16" t="s">
        <v>285</v>
      </c>
      <c r="K171" s="20"/>
      <c r="L171" s="20"/>
      <c r="M171" s="8"/>
      <c r="N171" s="271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1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1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1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1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1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1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25000</v>
      </c>
      <c r="K178" s="24" t="s">
        <v>289</v>
      </c>
      <c r="L178" s="24" t="s">
        <v>289</v>
      </c>
      <c r="M178" s="8"/>
      <c r="N178" s="271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1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1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1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25000</v>
      </c>
      <c r="K182" s="45" t="s">
        <v>289</v>
      </c>
      <c r="L182" s="45" t="s">
        <v>289</v>
      </c>
      <c r="M182" s="8"/>
      <c r="N182" s="271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1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1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1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69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69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1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>
        <v>607658</v>
      </c>
      <c r="J189" s="24" t="s">
        <v>289</v>
      </c>
      <c r="K189" s="24" t="s">
        <v>289</v>
      </c>
      <c r="L189" s="24" t="s">
        <v>289</v>
      </c>
      <c r="M189" s="8"/>
      <c r="N189" s="271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1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607658</v>
      </c>
      <c r="J191" s="41">
        <f>J182</f>
        <v>25000</v>
      </c>
      <c r="K191" s="45" t="s">
        <v>289</v>
      </c>
      <c r="L191" s="45" t="s">
        <v>289</v>
      </c>
      <c r="M191" s="8"/>
      <c r="N191" s="271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19504661.080000002</v>
      </c>
      <c r="G192" s="47">
        <f>G111+G139+G168+G191</f>
        <v>429491.11</v>
      </c>
      <c r="H192" s="47">
        <f>H111+H139+H168+H191</f>
        <v>923736.87</v>
      </c>
      <c r="I192" s="47">
        <f>I111+I139+I168+I191</f>
        <v>607658</v>
      </c>
      <c r="J192" s="47">
        <f>J111+J139+J191</f>
        <v>25473.78</v>
      </c>
      <c r="K192" s="45" t="s">
        <v>289</v>
      </c>
      <c r="L192" s="45" t="s">
        <v>289</v>
      </c>
      <c r="M192" s="8"/>
      <c r="N192" s="271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6" t="s">
        <v>693</v>
      </c>
      <c r="G193" s="176" t="s">
        <v>694</v>
      </c>
      <c r="H193" s="176" t="s">
        <v>695</v>
      </c>
      <c r="I193" s="176" t="s">
        <v>696</v>
      </c>
      <c r="J193" s="176" t="s">
        <v>697</v>
      </c>
      <c r="K193" s="176" t="s">
        <v>698</v>
      </c>
      <c r="L193" s="56"/>
      <c r="M193" s="8"/>
      <c r="N193" s="271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1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1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3398772.9+887.65+273257.13+2760+7697.26+11048.88+826.62+100568.77+14545.2</f>
        <v>3810364.4099999997</v>
      </c>
      <c r="G196" s="18">
        <f>777730.94+80388.95+271579.24+3337.21+383946.84+51750+26192.68+3640.3+43341.26+51750</f>
        <v>1693657.42</v>
      </c>
      <c r="H196" s="18">
        <f>6427.67+6976.65+17332.69</f>
        <v>30737.01</v>
      </c>
      <c r="I196" s="18">
        <f>68513.3+10627.57+31699.58+26013.95+210.56</f>
        <v>137064.95999999999</v>
      </c>
      <c r="J196" s="18">
        <f>3120+1140.8+576.38+41418.54+75324.7</f>
        <v>121580.42</v>
      </c>
      <c r="K196" s="18">
        <f>2346.3</f>
        <v>2346.3000000000002</v>
      </c>
      <c r="L196" s="19">
        <f>SUM(F196:K196)</f>
        <v>5795750.5199999996</v>
      </c>
      <c r="M196" s="8"/>
      <c r="N196" s="271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425365.68+816072.31+345883.31+14096.68</f>
        <v>1601417.98</v>
      </c>
      <c r="G197" s="18">
        <f>284562.91+25378.62+92474.11+27630.49+48039.89+128463.58+1715.5</f>
        <v>608265.1</v>
      </c>
      <c r="H197" s="18">
        <f>236890.31+19850.75</f>
        <v>256741.06</v>
      </c>
      <c r="I197" s="18">
        <f>233.13+982.34+584.85+8807.83+34.5</f>
        <v>10642.65</v>
      </c>
      <c r="J197" s="18">
        <f>7878.81</f>
        <v>7878.81</v>
      </c>
      <c r="K197" s="18">
        <v>13.8</v>
      </c>
      <c r="L197" s="19">
        <f>SUM(F197:K197)</f>
        <v>2484959.4</v>
      </c>
      <c r="M197" s="8"/>
      <c r="N197" s="271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1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20021</f>
        <v>20021</v>
      </c>
      <c r="G199" s="18">
        <f>1512.2+1307.32</f>
        <v>2819.52</v>
      </c>
      <c r="H199" s="18">
        <f>3010+8623.44</f>
        <v>11633.44</v>
      </c>
      <c r="I199" s="18">
        <f>502.37</f>
        <v>502.37</v>
      </c>
      <c r="J199" s="18">
        <f>1557.66</f>
        <v>1557.66</v>
      </c>
      <c r="K199" s="18">
        <f>635</f>
        <v>635</v>
      </c>
      <c r="L199" s="19">
        <f>SUM(F199:K199)</f>
        <v>37168.990000000005</v>
      </c>
      <c r="M199" s="8"/>
      <c r="N199" s="271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1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206486.15+155141</f>
        <v>361627.15</v>
      </c>
      <c r="G201" s="18">
        <f>51420.76+5281.27+15157.63+23332.95+36782.09+4243.14+11410.38+17530.91</f>
        <v>165159.13000000003</v>
      </c>
      <c r="H201" s="18">
        <f>99.99+295558.07</f>
        <v>295658.06</v>
      </c>
      <c r="I201" s="18">
        <f>2864.93</f>
        <v>2864.93</v>
      </c>
      <c r="J201" s="18">
        <f>350.89</f>
        <v>350.89</v>
      </c>
      <c r="K201" s="18"/>
      <c r="L201" s="19">
        <f t="shared" ref="L201:L207" si="0">SUM(F201:K201)</f>
        <v>825660.16000000015</v>
      </c>
      <c r="M201" s="8"/>
      <c r="N201" s="271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23364.18+150652.9</f>
        <v>174017.08</v>
      </c>
      <c r="G202" s="18">
        <f>47552.17+3571.26+12788.01+2056+17023.76</f>
        <v>82991.199999999997</v>
      </c>
      <c r="H202" s="18">
        <f>45656.79</f>
        <v>45656.79</v>
      </c>
      <c r="I202" s="18">
        <f>1863.1+19380.7+14513.56</f>
        <v>35757.360000000001</v>
      </c>
      <c r="J202" s="18">
        <f>198+1593.59</f>
        <v>1791.59</v>
      </c>
      <c r="K202" s="18"/>
      <c r="L202" s="19">
        <f t="shared" si="0"/>
        <v>340214.01999999996</v>
      </c>
      <c r="M202" s="8"/>
      <c r="N202" s="271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3547.72+1386.9+1380+6658.5+297875.52</f>
        <v>310848.64000000001</v>
      </c>
      <c r="G203" s="18">
        <f>271.45+106.13+105.57+539.14+117979.21</f>
        <v>119001.5</v>
      </c>
      <c r="H203" s="18">
        <f>13757.05+37709.37+558.9+152857.73</f>
        <v>204883.05000000002</v>
      </c>
      <c r="I203" s="18">
        <f>7801.5+53294.32</f>
        <v>61095.82</v>
      </c>
      <c r="J203" s="18">
        <f>1794</f>
        <v>1794</v>
      </c>
      <c r="K203" s="18">
        <f>3408.09+513.18</f>
        <v>3921.27</v>
      </c>
      <c r="L203" s="19">
        <f t="shared" si="0"/>
        <v>701544.28</v>
      </c>
      <c r="M203" s="8"/>
      <c r="N203" s="271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248647+166328.92+68500</f>
        <v>483475.92000000004</v>
      </c>
      <c r="G204" s="18">
        <f>119181.06+9697.16+36440.47+14636.97+35862.67+9746.28</f>
        <v>225564.61000000002</v>
      </c>
      <c r="H204" s="18">
        <f>25787.68+3712.63+1322+895.87</f>
        <v>31718.18</v>
      </c>
      <c r="I204" s="18">
        <f>1890.23</f>
        <v>1890.23</v>
      </c>
      <c r="J204" s="18"/>
      <c r="K204" s="18"/>
      <c r="L204" s="19">
        <f t="shared" si="0"/>
        <v>742648.94000000006</v>
      </c>
      <c r="M204" s="8"/>
      <c r="N204" s="271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1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235513.23+59836.56</f>
        <v>295349.79000000004</v>
      </c>
      <c r="G206" s="18">
        <f>66271.88+3803.14+17687.11+15861.02+20689.73</f>
        <v>124312.88</v>
      </c>
      <c r="H206" s="18">
        <f>17752.26+271563.72+56918.08+166564.76+36891.04+668.08+32359.86+31960.56+31960.45+3327.2-34244.51</f>
        <v>615721.49999999988</v>
      </c>
      <c r="I206" s="18">
        <f>36982.87+69796.48+3515.31+121054.85+7744.19+154.5+9888.41</f>
        <v>249136.61000000002</v>
      </c>
      <c r="J206" s="18">
        <f>930.99+29148.46+6542.92+14840.27+14612.78-242.12</f>
        <v>65833.3</v>
      </c>
      <c r="K206" s="18"/>
      <c r="L206" s="19">
        <f t="shared" si="0"/>
        <v>1350354.08</v>
      </c>
      <c r="M206" s="8"/>
      <c r="N206" s="271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4408.7+16116.34+394611.9+157020.67-0.01</f>
        <v>572157.6</v>
      </c>
      <c r="I207" s="18"/>
      <c r="J207" s="18"/>
      <c r="K207" s="18"/>
      <c r="L207" s="19">
        <f t="shared" si="0"/>
        <v>572157.6</v>
      </c>
      <c r="M207" s="8"/>
      <c r="N207" s="271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f>2824.83</f>
        <v>2824.83</v>
      </c>
      <c r="I208" s="18"/>
      <c r="J208" s="18"/>
      <c r="K208" s="18"/>
      <c r="L208" s="19">
        <f>SUM(F208:K208)</f>
        <v>2824.83</v>
      </c>
      <c r="M208" s="8"/>
      <c r="N208" s="271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1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7057121.9699999997</v>
      </c>
      <c r="G210" s="41">
        <f t="shared" si="1"/>
        <v>3021771.36</v>
      </c>
      <c r="H210" s="41">
        <f t="shared" si="1"/>
        <v>2067731.52</v>
      </c>
      <c r="I210" s="41">
        <f t="shared" si="1"/>
        <v>498954.93</v>
      </c>
      <c r="J210" s="41">
        <f t="shared" si="1"/>
        <v>200786.66999999998</v>
      </c>
      <c r="K210" s="41">
        <f t="shared" si="1"/>
        <v>6916.3700000000008</v>
      </c>
      <c r="L210" s="41">
        <f t="shared" si="1"/>
        <v>12853282.819999998</v>
      </c>
      <c r="M210" s="8"/>
      <c r="N210" s="271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6" t="s">
        <v>693</v>
      </c>
      <c r="G211" s="176" t="s">
        <v>694</v>
      </c>
      <c r="H211" s="176" t="s">
        <v>695</v>
      </c>
      <c r="I211" s="176" t="s">
        <v>696</v>
      </c>
      <c r="J211" s="176" t="s">
        <v>697</v>
      </c>
      <c r="K211" s="176" t="s">
        <v>698</v>
      </c>
      <c r="L211" s="67"/>
      <c r="M211" s="8"/>
      <c r="N211" s="271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1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1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1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1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1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1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1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1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1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1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1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1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1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1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1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1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1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6" t="s">
        <v>693</v>
      </c>
      <c r="G229" s="176" t="s">
        <v>694</v>
      </c>
      <c r="H229" s="176" t="s">
        <v>695</v>
      </c>
      <c r="I229" s="176" t="s">
        <v>696</v>
      </c>
      <c r="J229" s="176" t="s">
        <v>697</v>
      </c>
      <c r="K229" s="176" t="s">
        <v>698</v>
      </c>
      <c r="L229" s="67"/>
      <c r="M229" s="8"/>
      <c r="N229" s="271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1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1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1567018.66+3706.83+85583.45+1240+3458.2+4964+371.38+45183.07+6534.8</f>
        <v>1718060.39</v>
      </c>
      <c r="G232" s="18">
        <f>421002.21+43188.58+121756.84+7591.91+177644.94+23250+11767.73+1635.5+19472.16+23250</f>
        <v>850559.87</v>
      </c>
      <c r="H232" s="18">
        <f>5763.51+1500+7787.15</f>
        <v>15050.66</v>
      </c>
      <c r="I232" s="18">
        <f>56550.92+5481.78+37224.53+9568.04+94.61</f>
        <v>108919.87999999999</v>
      </c>
      <c r="J232" s="18">
        <f>17463.61+11758.49+23549.63+33841.53</f>
        <v>86613.26</v>
      </c>
      <c r="K232" s="18">
        <f>4821.55</f>
        <v>4821.55</v>
      </c>
      <c r="L232" s="19">
        <f>SUM(F232:K232)</f>
        <v>2784025.6099999994</v>
      </c>
      <c r="M232" s="8"/>
      <c r="N232" s="271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196609.54+188743.37+155396.84+6332.68</f>
        <v>547082.43000000005</v>
      </c>
      <c r="G233" s="18">
        <f>137650.78+12289.42+28098.42+14074.7+22216.78+57715.51+770.73</f>
        <v>272816.33999999997</v>
      </c>
      <c r="H233" s="18">
        <f>149914.27+180852.46+106428.98+8918.45</f>
        <v>446114.16</v>
      </c>
      <c r="I233" s="18">
        <f>84.83+982.34+3957.14+15.5</f>
        <v>5039.8099999999995</v>
      </c>
      <c r="J233" s="18">
        <f>3539.75</f>
        <v>3539.75</v>
      </c>
      <c r="K233" s="18">
        <f>6.2</f>
        <v>6.2</v>
      </c>
      <c r="L233" s="19">
        <f>SUM(F233:K233)</f>
        <v>1274598.69</v>
      </c>
      <c r="M233" s="8"/>
      <c r="N233" s="271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f>268597.65</f>
        <v>268597.65000000002</v>
      </c>
      <c r="I234" s="18"/>
      <c r="J234" s="18"/>
      <c r="K234" s="18"/>
      <c r="L234" s="19">
        <f>SUM(F234:K234)</f>
        <v>268597.65000000002</v>
      </c>
      <c r="M234" s="8"/>
      <c r="N234" s="271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62837</f>
        <v>62837</v>
      </c>
      <c r="G235" s="18">
        <f>4785.26+120.12+1479.84</f>
        <v>6385.22</v>
      </c>
      <c r="H235" s="18">
        <f>22080.25+3874.3</f>
        <v>25954.55</v>
      </c>
      <c r="I235" s="18">
        <f>16547.2</f>
        <v>16547.2</v>
      </c>
      <c r="J235" s="18">
        <v>17091.099999999999</v>
      </c>
      <c r="K235" s="18">
        <f>4950</f>
        <v>4950</v>
      </c>
      <c r="L235" s="19">
        <f>SUM(F235:K235)</f>
        <v>133765.07</v>
      </c>
      <c r="M235" s="8"/>
      <c r="N235" s="271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1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156719.55+56425</f>
        <v>213144.55</v>
      </c>
      <c r="G237" s="18">
        <f>12743.96+3630.39+11837.36+17681.07+18354.49+1650.88+4087.89+6375.93</f>
        <v>76361.97</v>
      </c>
      <c r="H237" s="18">
        <f>4121.11+1500.01+132786.95</f>
        <v>138408.07</v>
      </c>
      <c r="I237" s="18">
        <f>982.05+476.62+794.3</f>
        <v>2252.9700000000003</v>
      </c>
      <c r="J237" s="18">
        <f>1798.2</f>
        <v>1798.2</v>
      </c>
      <c r="K237" s="18">
        <f>120</f>
        <v>120</v>
      </c>
      <c r="L237" s="19">
        <f t="shared" ref="L237:L243" si="4">SUM(F237:K237)</f>
        <v>432085.76000000001</v>
      </c>
      <c r="M237" s="8"/>
      <c r="N237" s="271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57712.5+13743.91</f>
        <v>71456.41</v>
      </c>
      <c r="G238" s="18">
        <f>13596.01+941.38+5296.5+6521.57</f>
        <v>26355.46</v>
      </c>
      <c r="H238" s="18">
        <f>20512.47</f>
        <v>20512.47</v>
      </c>
      <c r="I238" s="18">
        <f>1483.73+12891.99+6520.58</f>
        <v>20896.3</v>
      </c>
      <c r="J238" s="18">
        <f>2359.18+777.52+2868</f>
        <v>6004.7</v>
      </c>
      <c r="K238" s="18"/>
      <c r="L238" s="19">
        <f t="shared" si="4"/>
        <v>145225.34</v>
      </c>
      <c r="M238" s="8"/>
      <c r="N238" s="271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1593.9+623.1+620+2991.5+133828.13</f>
        <v>139656.63</v>
      </c>
      <c r="G239" s="18">
        <f>121.95+47.67+47.43+242.21+53005.15</f>
        <v>53464.41</v>
      </c>
      <c r="H239" s="18">
        <f>6180.7+16941.89+251.1+68675.21</f>
        <v>92048.900000000009</v>
      </c>
      <c r="I239" s="18">
        <f>3505.02+23943.82</f>
        <v>27448.84</v>
      </c>
      <c r="J239" s="18">
        <f>806</f>
        <v>806</v>
      </c>
      <c r="K239" s="18">
        <f>1531.16+230.56</f>
        <v>1761.72</v>
      </c>
      <c r="L239" s="19">
        <f t="shared" si="4"/>
        <v>315186.5</v>
      </c>
      <c r="M239" s="8"/>
      <c r="N239" s="271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57785+86770+101161.52+68500</f>
        <v>314216.52</v>
      </c>
      <c r="G240" s="18">
        <f>85350.16+7002.4+23669.16+13987.19+17558.08+5703.64</f>
        <v>153270.63</v>
      </c>
      <c r="H240" s="18">
        <f>10212.24+2765.78+3256.34+523.02</f>
        <v>16757.38</v>
      </c>
      <c r="I240" s="18">
        <f>7887.06</f>
        <v>7887.06</v>
      </c>
      <c r="J240" s="18"/>
      <c r="K240" s="18"/>
      <c r="L240" s="19">
        <f t="shared" si="4"/>
        <v>492131.59</v>
      </c>
      <c r="M240" s="8"/>
      <c r="N240" s="271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1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124559.48+26883.09</f>
        <v>151442.57</v>
      </c>
      <c r="G242" s="18">
        <f>30633.81+2592.26+9334.55+8236.22+9295.38</f>
        <v>60092.219999999994</v>
      </c>
      <c r="H242" s="18">
        <f>717+49969.2+39153+21773.95+20038.37+32359.86+14359.09+14359.04+1494.82-15385.21</f>
        <v>178839.12000000002</v>
      </c>
      <c r="I242" s="18">
        <f>20724.62+41232.71+42539.02+1908.13+5699.38+228.9+4442.62</f>
        <v>116775.38</v>
      </c>
      <c r="J242" s="18">
        <f>2475+11046.01+2545.15+16742.99+6565.15-108.77</f>
        <v>39265.530000000006</v>
      </c>
      <c r="K242" s="18"/>
      <c r="L242" s="19">
        <f t="shared" si="4"/>
        <v>546414.82000000007</v>
      </c>
      <c r="M242" s="8"/>
      <c r="N242" s="271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74279.33+29611.57+2768.62+177289.4+70545.51+0.01</f>
        <v>354494.44</v>
      </c>
      <c r="I243" s="18"/>
      <c r="J243" s="18"/>
      <c r="K243" s="18"/>
      <c r="L243" s="19">
        <f t="shared" si="4"/>
        <v>354494.44</v>
      </c>
      <c r="M243" s="8"/>
      <c r="N243" s="271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>
        <f>1269.12</f>
        <v>1269.1199999999999</v>
      </c>
      <c r="I244" s="18"/>
      <c r="J244" s="18"/>
      <c r="K244" s="18"/>
      <c r="L244" s="19">
        <f>SUM(F244:K244)</f>
        <v>1269.1199999999999</v>
      </c>
      <c r="M244" s="8"/>
      <c r="N244" s="271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1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3217896.4999999995</v>
      </c>
      <c r="G246" s="41">
        <f t="shared" si="5"/>
        <v>1499306.1199999999</v>
      </c>
      <c r="H246" s="41">
        <f t="shared" si="5"/>
        <v>1558046.5200000003</v>
      </c>
      <c r="I246" s="41">
        <f t="shared" si="5"/>
        <v>305767.43999999994</v>
      </c>
      <c r="J246" s="41">
        <f t="shared" si="5"/>
        <v>155118.53999999998</v>
      </c>
      <c r="K246" s="41">
        <f t="shared" si="5"/>
        <v>11659.47</v>
      </c>
      <c r="L246" s="41">
        <f t="shared" si="5"/>
        <v>6747794.5899999999</v>
      </c>
      <c r="M246" s="8"/>
      <c r="N246" s="271"/>
    </row>
    <row r="247" spans="1:14" s="3" customFormat="1" ht="12" customHeight="1" x14ac:dyDescent="0.15">
      <c r="A247" s="70"/>
      <c r="B247" s="36"/>
      <c r="C247" s="37"/>
      <c r="D247" s="37"/>
      <c r="E247" s="37"/>
      <c r="F247" s="176" t="s">
        <v>693</v>
      </c>
      <c r="G247" s="176" t="s">
        <v>694</v>
      </c>
      <c r="H247" s="176" t="s">
        <v>695</v>
      </c>
      <c r="I247" s="176" t="s">
        <v>696</v>
      </c>
      <c r="J247" s="176" t="s">
        <v>697</v>
      </c>
      <c r="K247" s="176" t="s">
        <v>698</v>
      </c>
      <c r="L247" s="67"/>
      <c r="M247" s="8"/>
      <c r="N247" s="271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1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1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1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1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1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1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1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1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10275018.469999999</v>
      </c>
      <c r="G256" s="41">
        <f t="shared" si="8"/>
        <v>4521077.4799999995</v>
      </c>
      <c r="H256" s="41">
        <f t="shared" si="8"/>
        <v>3625778.04</v>
      </c>
      <c r="I256" s="41">
        <f t="shared" si="8"/>
        <v>804722.36999999988</v>
      </c>
      <c r="J256" s="41">
        <f t="shared" si="8"/>
        <v>355905.20999999996</v>
      </c>
      <c r="K256" s="41">
        <f t="shared" si="8"/>
        <v>18575.84</v>
      </c>
      <c r="L256" s="41">
        <f t="shared" si="8"/>
        <v>19601077.409999996</v>
      </c>
      <c r="M256" s="8"/>
      <c r="N256" s="271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1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1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1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69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69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69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69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69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25000</v>
      </c>
      <c r="L265" s="19">
        <f t="shared" si="9"/>
        <v>25000</v>
      </c>
      <c r="N265" s="269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69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69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69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25000</v>
      </c>
      <c r="L269" s="41">
        <f t="shared" si="9"/>
        <v>25000</v>
      </c>
      <c r="N269" s="269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10275018.469999999</v>
      </c>
      <c r="G270" s="42">
        <f t="shared" si="11"/>
        <v>4521077.4799999995</v>
      </c>
      <c r="H270" s="42">
        <f t="shared" si="11"/>
        <v>3625778.04</v>
      </c>
      <c r="I270" s="42">
        <f t="shared" si="11"/>
        <v>804722.36999999988</v>
      </c>
      <c r="J270" s="42">
        <f t="shared" si="11"/>
        <v>355905.20999999996</v>
      </c>
      <c r="K270" s="42">
        <f t="shared" si="11"/>
        <v>43575.839999999997</v>
      </c>
      <c r="L270" s="42">
        <f t="shared" si="11"/>
        <v>19626077.409999996</v>
      </c>
      <c r="M270" s="8"/>
      <c r="N270" s="271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1"/>
    </row>
    <row r="272" spans="1:14" s="3" customFormat="1" ht="12" customHeight="1" x14ac:dyDescent="0.15">
      <c r="A272" s="29" t="s">
        <v>467</v>
      </c>
      <c r="F272" s="176" t="s">
        <v>693</v>
      </c>
      <c r="G272" s="176" t="s">
        <v>694</v>
      </c>
      <c r="H272" s="176" t="s">
        <v>695</v>
      </c>
      <c r="I272" s="176" t="s">
        <v>696</v>
      </c>
      <c r="J272" s="176" t="s">
        <v>697</v>
      </c>
      <c r="K272" s="176" t="s">
        <v>698</v>
      </c>
      <c r="M272" s="8"/>
      <c r="N272" s="271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1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1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54704.38</f>
        <v>54704.38</v>
      </c>
      <c r="G275" s="18">
        <f>6264.95+758.34+4145.01+2280.71+961.74</f>
        <v>14410.749999999998</v>
      </c>
      <c r="H275" s="18">
        <f>2500+825+311.25+9600+6750+14430+235+19915.6+104724.5+17437+15072.5+558.04+45714.29+18161.06</f>
        <v>256234.24000000002</v>
      </c>
      <c r="I275" s="18">
        <f>19.91+1295.58+227.71+1466.82+463.46+74934.89+15180.26+2672.61</f>
        <v>96261.239999999991</v>
      </c>
      <c r="J275" s="18">
        <f>2000+2990+2849.69</f>
        <v>7839.6900000000005</v>
      </c>
      <c r="K275" s="18">
        <f>7401.83</f>
        <v>7401.83</v>
      </c>
      <c r="L275" s="19">
        <f>SUM(F275:K275)</f>
        <v>436852.13</v>
      </c>
      <c r="M275" s="8"/>
      <c r="N275" s="271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90878.71</f>
        <v>90878.71</v>
      </c>
      <c r="G276" s="18">
        <f>23707.42</f>
        <v>23707.42</v>
      </c>
      <c r="H276" s="18">
        <f>26323.36</f>
        <v>26323.360000000001</v>
      </c>
      <c r="I276" s="18">
        <f>7420.11</f>
        <v>7420.11</v>
      </c>
      <c r="J276" s="18">
        <f>19597.12</f>
        <v>19597.12</v>
      </c>
      <c r="K276" s="18"/>
      <c r="L276" s="19">
        <f>SUM(F276:K276)</f>
        <v>167926.71999999997</v>
      </c>
      <c r="M276" s="8"/>
      <c r="N276" s="271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1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1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1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f>37590*0.69</f>
        <v>25937.1</v>
      </c>
      <c r="I280" s="18"/>
      <c r="J280" s="18"/>
      <c r="K280" s="18"/>
      <c r="L280" s="19">
        <f t="shared" ref="L280:L286" si="12">SUM(F280:K280)</f>
        <v>25937.1</v>
      </c>
      <c r="M280" s="8"/>
      <c r="N280" s="271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f>58170*0.69</f>
        <v>40137.299999999996</v>
      </c>
      <c r="I281" s="18"/>
      <c r="J281" s="18"/>
      <c r="K281" s="18"/>
      <c r="L281" s="19">
        <f t="shared" si="12"/>
        <v>40137.299999999996</v>
      </c>
      <c r="M281" s="8"/>
      <c r="N281" s="271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1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1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1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1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1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1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1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145583.09</v>
      </c>
      <c r="G289" s="42">
        <f t="shared" si="13"/>
        <v>38118.17</v>
      </c>
      <c r="H289" s="42">
        <f t="shared" si="13"/>
        <v>348632</v>
      </c>
      <c r="I289" s="42">
        <f t="shared" si="13"/>
        <v>103681.34999999999</v>
      </c>
      <c r="J289" s="42">
        <f t="shared" si="13"/>
        <v>27436.809999999998</v>
      </c>
      <c r="K289" s="42">
        <f t="shared" si="13"/>
        <v>7401.83</v>
      </c>
      <c r="L289" s="41">
        <f t="shared" si="13"/>
        <v>670853.25</v>
      </c>
      <c r="M289" s="8"/>
      <c r="N289" s="271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1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6" t="s">
        <v>693</v>
      </c>
      <c r="G291" s="176" t="s">
        <v>694</v>
      </c>
      <c r="H291" s="176" t="s">
        <v>695</v>
      </c>
      <c r="I291" s="176" t="s">
        <v>696</v>
      </c>
      <c r="J291" s="176" t="s">
        <v>697</v>
      </c>
      <c r="K291" s="176" t="s">
        <v>698</v>
      </c>
      <c r="L291" s="17"/>
      <c r="M291" s="8"/>
      <c r="N291" s="271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1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1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1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1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1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1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1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1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1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1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1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1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1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1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1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1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69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1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6" t="s">
        <v>693</v>
      </c>
      <c r="G310" s="176" t="s">
        <v>694</v>
      </c>
      <c r="H310" s="176" t="s">
        <v>695</v>
      </c>
      <c r="I310" s="176" t="s">
        <v>696</v>
      </c>
      <c r="J310" s="176" t="s">
        <v>697</v>
      </c>
      <c r="K310" s="176" t="s">
        <v>698</v>
      </c>
      <c r="L310" s="20"/>
      <c r="M310" s="8"/>
      <c r="N310" s="271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1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1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15034.5+16999</f>
        <v>32033.5</v>
      </c>
      <c r="G313" s="18">
        <f>2405.13+1495.92+1698.9</f>
        <v>5599.9500000000007</v>
      </c>
      <c r="H313" s="18">
        <f>6390.45+8500+1316.91+3691.03+20538.3+8159.31</f>
        <v>48596</v>
      </c>
      <c r="I313" s="18">
        <f>1849.55+2923.74+6820.12+1200.73</f>
        <v>12794.14</v>
      </c>
      <c r="J313" s="18">
        <f>9000+1280.29</f>
        <v>10280.290000000001</v>
      </c>
      <c r="K313" s="18"/>
      <c r="L313" s="19">
        <f>SUM(F313:K313)</f>
        <v>109303.88</v>
      </c>
      <c r="M313" s="8"/>
      <c r="N313" s="271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40829.57</f>
        <v>40829.57</v>
      </c>
      <c r="G314" s="18">
        <f>10651.16</f>
        <v>10651.16</v>
      </c>
      <c r="H314" s="18">
        <f>11826.44</f>
        <v>11826.44</v>
      </c>
      <c r="I314" s="18">
        <f>1422.94+3333.67</f>
        <v>4756.6100000000006</v>
      </c>
      <c r="J314" s="18">
        <f>8804.5</f>
        <v>8804.5</v>
      </c>
      <c r="K314" s="18"/>
      <c r="L314" s="19">
        <f>SUM(F314:K314)</f>
        <v>76868.28</v>
      </c>
      <c r="M314" s="8"/>
      <c r="N314" s="271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1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>
        <f>3532.78</f>
        <v>3532.78</v>
      </c>
      <c r="J316" s="18"/>
      <c r="K316" s="18"/>
      <c r="L316" s="19">
        <f>SUM(F316:K316)</f>
        <v>3532.78</v>
      </c>
      <c r="M316" s="8"/>
      <c r="N316" s="271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1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>
        <f>37590*0.31</f>
        <v>11652.9</v>
      </c>
      <c r="I318" s="18"/>
      <c r="J318" s="18"/>
      <c r="K318" s="18"/>
      <c r="L318" s="19">
        <f t="shared" ref="L318:L324" si="16">SUM(F318:K318)</f>
        <v>11652.9</v>
      </c>
      <c r="M318" s="8"/>
      <c r="N318" s="271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f>58170*0.31</f>
        <v>18032.7</v>
      </c>
      <c r="I319" s="18"/>
      <c r="J319" s="18"/>
      <c r="K319" s="18"/>
      <c r="L319" s="19">
        <f t="shared" si="16"/>
        <v>18032.7</v>
      </c>
      <c r="M319" s="8"/>
      <c r="N319" s="271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1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1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1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1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1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1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1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72863.070000000007</v>
      </c>
      <c r="G327" s="42">
        <f t="shared" si="17"/>
        <v>16251.11</v>
      </c>
      <c r="H327" s="42">
        <f t="shared" si="17"/>
        <v>90108.04</v>
      </c>
      <c r="I327" s="42">
        <f t="shared" si="17"/>
        <v>21083.53</v>
      </c>
      <c r="J327" s="42">
        <f t="shared" si="17"/>
        <v>19084.79</v>
      </c>
      <c r="K327" s="42">
        <f t="shared" si="17"/>
        <v>0</v>
      </c>
      <c r="L327" s="41">
        <f t="shared" si="17"/>
        <v>219390.54</v>
      </c>
      <c r="M327" s="8"/>
      <c r="N327" s="271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1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6" t="s">
        <v>693</v>
      </c>
      <c r="G329" s="176" t="s">
        <v>694</v>
      </c>
      <c r="H329" s="176" t="s">
        <v>695</v>
      </c>
      <c r="I329" s="176" t="s">
        <v>696</v>
      </c>
      <c r="J329" s="176" t="s">
        <v>697</v>
      </c>
      <c r="K329" s="176" t="s">
        <v>698</v>
      </c>
      <c r="L329" s="19"/>
      <c r="M329" s="8"/>
      <c r="N329" s="271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1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1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1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1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1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1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1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218446.16</v>
      </c>
      <c r="G337" s="41">
        <f t="shared" si="20"/>
        <v>54369.279999999999</v>
      </c>
      <c r="H337" s="41">
        <f t="shared" si="20"/>
        <v>438740.04</v>
      </c>
      <c r="I337" s="41">
        <f t="shared" si="20"/>
        <v>124764.87999999999</v>
      </c>
      <c r="J337" s="41">
        <f t="shared" si="20"/>
        <v>46521.599999999999</v>
      </c>
      <c r="K337" s="41">
        <f t="shared" si="20"/>
        <v>7401.83</v>
      </c>
      <c r="L337" s="41">
        <f t="shared" si="20"/>
        <v>890243.79</v>
      </c>
      <c r="M337" s="8"/>
      <c r="N337" s="271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1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1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1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1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0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1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1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1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1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1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1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1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1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218446.16</v>
      </c>
      <c r="G351" s="41">
        <f>G337</f>
        <v>54369.279999999999</v>
      </c>
      <c r="H351" s="41">
        <f>H337</f>
        <v>438740.04</v>
      </c>
      <c r="I351" s="41">
        <f>I337</f>
        <v>124764.87999999999</v>
      </c>
      <c r="J351" s="41">
        <f>J337</f>
        <v>46521.599999999999</v>
      </c>
      <c r="K351" s="47">
        <f>K337+K350</f>
        <v>7401.83</v>
      </c>
      <c r="L351" s="41">
        <f>L337+L350</f>
        <v>890243.79</v>
      </c>
      <c r="M351" s="52"/>
      <c r="N351" s="270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1"/>
    </row>
    <row r="353" spans="1:14" s="3" customFormat="1" ht="12" customHeight="1" x14ac:dyDescent="0.2">
      <c r="A353" s="54"/>
      <c r="B353" s="52"/>
      <c r="C353" s="52"/>
      <c r="D353" s="52"/>
      <c r="E353" s="52"/>
      <c r="F353" s="176" t="s">
        <v>693</v>
      </c>
      <c r="G353" s="176" t="s">
        <v>694</v>
      </c>
      <c r="H353" s="176" t="s">
        <v>695</v>
      </c>
      <c r="I353" s="176" t="s">
        <v>696</v>
      </c>
      <c r="J353" s="176" t="s">
        <v>697</v>
      </c>
      <c r="K353" s="176" t="s">
        <v>698</v>
      </c>
      <c r="L353" s="53"/>
      <c r="M353" s="8"/>
      <c r="N353" s="271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1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1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1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f>428071.87*0.69</f>
        <v>295369.59029999998</v>
      </c>
      <c r="I357" s="18"/>
      <c r="J357" s="18"/>
      <c r="K357" s="18"/>
      <c r="L357" s="13">
        <f>SUM(F357:K357)</f>
        <v>295369.59029999998</v>
      </c>
      <c r="N357" s="269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1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f>428071.87*0.31</f>
        <v>132702.27969999998</v>
      </c>
      <c r="I359" s="18"/>
      <c r="J359" s="18"/>
      <c r="K359" s="18"/>
      <c r="L359" s="19">
        <f>SUM(F359:K359)</f>
        <v>132702.27969999998</v>
      </c>
      <c r="M359" s="8"/>
      <c r="N359" s="271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1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428071.87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428071.87</v>
      </c>
      <c r="M361" s="8"/>
      <c r="N361" s="271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1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1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1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1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1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1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1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6" t="s">
        <v>693</v>
      </c>
      <c r="G370" s="176" t="s">
        <v>694</v>
      </c>
      <c r="H370" s="176" t="s">
        <v>695</v>
      </c>
      <c r="I370" s="176" t="s">
        <v>696</v>
      </c>
      <c r="J370" s="176" t="s">
        <v>697</v>
      </c>
      <c r="K370" s="176" t="s">
        <v>698</v>
      </c>
      <c r="L370" s="13"/>
      <c r="M370" s="8"/>
      <c r="N370" s="271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1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1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1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1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1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1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1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>
        <v>607658</v>
      </c>
      <c r="I378" s="18"/>
      <c r="J378" s="18"/>
      <c r="K378" s="18"/>
      <c r="L378" s="13">
        <f t="shared" si="23"/>
        <v>607658</v>
      </c>
      <c r="M378" s="8"/>
      <c r="N378" s="271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1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1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607658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607658</v>
      </c>
      <c r="M381" s="8"/>
      <c r="N381" s="271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1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1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1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1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1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1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1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1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473.78</v>
      </c>
      <c r="I391" s="18"/>
      <c r="J391" s="24" t="s">
        <v>289</v>
      </c>
      <c r="K391" s="24" t="s">
        <v>289</v>
      </c>
      <c r="L391" s="56">
        <f t="shared" si="25"/>
        <v>473.78</v>
      </c>
      <c r="M391" s="8"/>
      <c r="N391" s="271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473.78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473.78</v>
      </c>
      <c r="M392" s="8"/>
      <c r="N392" s="271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1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1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1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25000</v>
      </c>
      <c r="H396" s="18"/>
      <c r="I396" s="18"/>
      <c r="J396" s="24" t="s">
        <v>289</v>
      </c>
      <c r="K396" s="24" t="s">
        <v>289</v>
      </c>
      <c r="L396" s="56">
        <f t="shared" si="26"/>
        <v>25000</v>
      </c>
      <c r="M396" s="8"/>
      <c r="N396" s="271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1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1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1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25000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25000</v>
      </c>
      <c r="M400" s="8"/>
      <c r="N400" s="271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1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1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1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1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1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1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25000</v>
      </c>
      <c r="H407" s="47">
        <f>H392+H400+H406</f>
        <v>473.78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25473.78</v>
      </c>
      <c r="M407" s="8"/>
      <c r="N407" s="271"/>
    </row>
    <row r="408" spans="1:21" s="3" customFormat="1" ht="12" customHeight="1" x14ac:dyDescent="0.15">
      <c r="A408" s="78"/>
      <c r="B408" s="2"/>
      <c r="C408" s="6"/>
      <c r="D408" s="6"/>
      <c r="E408" s="6"/>
      <c r="F408" s="176" t="s">
        <v>693</v>
      </c>
      <c r="G408" s="176" t="s">
        <v>694</v>
      </c>
      <c r="H408" s="176" t="s">
        <v>695</v>
      </c>
      <c r="I408" s="176" t="s">
        <v>696</v>
      </c>
      <c r="J408" s="176" t="s">
        <v>697</v>
      </c>
      <c r="K408" s="176" t="s">
        <v>698</v>
      </c>
      <c r="L408" s="56"/>
      <c r="M408" s="8"/>
      <c r="N408" s="271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1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1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1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1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0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6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1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1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1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1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1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1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1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1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1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1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1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1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6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6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69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1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1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1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1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1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1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1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1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1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647265.68000000005</v>
      </c>
      <c r="G440" s="18"/>
      <c r="H440" s="18"/>
      <c r="I440" s="56">
        <f t="shared" si="33"/>
        <v>647265.68000000005</v>
      </c>
      <c r="J440" s="24" t="s">
        <v>289</v>
      </c>
      <c r="K440" s="24" t="s">
        <v>289</v>
      </c>
      <c r="L440" s="24" t="s">
        <v>289</v>
      </c>
      <c r="M440" s="8"/>
      <c r="N440" s="271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1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1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1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1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647265.68000000005</v>
      </c>
      <c r="G445" s="13">
        <f>SUM(G438:G444)</f>
        <v>0</v>
      </c>
      <c r="H445" s="13">
        <f>SUM(H438:H444)</f>
        <v>0</v>
      </c>
      <c r="I445" s="13">
        <f>SUM(I438:I444)</f>
        <v>647265.68000000005</v>
      </c>
      <c r="J445" s="24" t="s">
        <v>289</v>
      </c>
      <c r="K445" s="24" t="s">
        <v>289</v>
      </c>
      <c r="L445" s="24" t="s">
        <v>289</v>
      </c>
      <c r="M445" s="8"/>
      <c r="N445" s="271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1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1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1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1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1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1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1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1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1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1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6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0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647265.68000000005</v>
      </c>
      <c r="G458" s="18"/>
      <c r="H458" s="18"/>
      <c r="I458" s="56">
        <f t="shared" si="34"/>
        <v>647265.68000000005</v>
      </c>
      <c r="J458" s="24" t="s">
        <v>289</v>
      </c>
      <c r="K458" s="24" t="s">
        <v>289</v>
      </c>
      <c r="L458" s="24" t="s">
        <v>289</v>
      </c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647265.68000000005</v>
      </c>
      <c r="G459" s="83">
        <f>SUM(G453:G458)</f>
        <v>0</v>
      </c>
      <c r="H459" s="83">
        <f>SUM(H453:H458)</f>
        <v>0</v>
      </c>
      <c r="I459" s="83">
        <f>SUM(I453:I458)</f>
        <v>647265.68000000005</v>
      </c>
      <c r="J459" s="24" t="s">
        <v>289</v>
      </c>
      <c r="K459" s="24" t="s">
        <v>289</v>
      </c>
      <c r="L459" s="24" t="s">
        <v>289</v>
      </c>
      <c r="N459" s="270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647265.68000000005</v>
      </c>
      <c r="G460" s="42">
        <f>G451+G459</f>
        <v>0</v>
      </c>
      <c r="H460" s="42">
        <f>H451+H459</f>
        <v>0</v>
      </c>
      <c r="I460" s="42">
        <f>I451+I459</f>
        <v>647265.68000000005</v>
      </c>
      <c r="J460" s="24" t="s">
        <v>289</v>
      </c>
      <c r="K460" s="24" t="s">
        <v>289</v>
      </c>
      <c r="L460" s="24" t="s">
        <v>289</v>
      </c>
      <c r="N460" s="270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0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0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0"/>
    </row>
    <row r="464" spans="1:23" s="52" customFormat="1" ht="12" customHeight="1" x14ac:dyDescent="0.2">
      <c r="A464" s="188" t="s">
        <v>899</v>
      </c>
      <c r="B464" s="105">
        <v>19</v>
      </c>
      <c r="C464" s="111">
        <v>1</v>
      </c>
      <c r="D464" s="2" t="s">
        <v>433</v>
      </c>
      <c r="E464" s="111"/>
      <c r="F464" s="18">
        <v>1375133.29</v>
      </c>
      <c r="G464" s="18">
        <v>1376.22</v>
      </c>
      <c r="H464" s="18">
        <v>120100.46</v>
      </c>
      <c r="I464" s="18">
        <v>0</v>
      </c>
      <c r="J464" s="18">
        <v>621791.9</v>
      </c>
      <c r="K464" s="24" t="s">
        <v>289</v>
      </c>
      <c r="L464" s="24" t="s">
        <v>289</v>
      </c>
      <c r="N464" s="270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0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0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20635922.08-50000-446261-585000-50000</f>
        <v>19504661.079999998</v>
      </c>
      <c r="G467" s="18">
        <v>429491.11</v>
      </c>
      <c r="H467" s="18">
        <f>733558.38+53325+47875+88978.49</f>
        <v>923736.87</v>
      </c>
      <c r="I467" s="18">
        <v>607658</v>
      </c>
      <c r="J467" s="18">
        <f>25000+473.78</f>
        <v>25473.78</v>
      </c>
      <c r="K467" s="24" t="s">
        <v>289</v>
      </c>
      <c r="L467" s="24" t="s">
        <v>289</v>
      </c>
      <c r="N467" s="270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25000</v>
      </c>
      <c r="G468" s="18"/>
      <c r="H468" s="18" t="s">
        <v>287</v>
      </c>
      <c r="I468" s="18"/>
      <c r="J468" s="18"/>
      <c r="K468" s="24" t="s">
        <v>289</v>
      </c>
      <c r="L468" s="24" t="s">
        <v>289</v>
      </c>
      <c r="N468" s="270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19529661.079999998</v>
      </c>
      <c r="G469" s="53">
        <f>SUM(G467:G468)</f>
        <v>429491.11</v>
      </c>
      <c r="H469" s="53">
        <f>SUM(H467:H468)</f>
        <v>923736.87</v>
      </c>
      <c r="I469" s="53">
        <f>SUM(I467:I468)</f>
        <v>607658</v>
      </c>
      <c r="J469" s="53">
        <f>SUM(J467:J468)</f>
        <v>25473.78</v>
      </c>
      <c r="K469" s="24" t="s">
        <v>289</v>
      </c>
      <c r="L469" s="24" t="s">
        <v>289</v>
      </c>
      <c r="N469" s="270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0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20732338.41-50000-446261-585000-50000+25000</f>
        <v>19626077.41</v>
      </c>
      <c r="G471" s="18">
        <v>428071.87</v>
      </c>
      <c r="H471" s="18">
        <f>733558.38+69115.13+45565.13+42005.15</f>
        <v>890243.79</v>
      </c>
      <c r="I471" s="18">
        <v>607658</v>
      </c>
      <c r="J471" s="18"/>
      <c r="K471" s="24" t="s">
        <v>289</v>
      </c>
      <c r="L471" s="24" t="s">
        <v>289</v>
      </c>
      <c r="N471" s="270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0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19626077.41</v>
      </c>
      <c r="G473" s="53">
        <f>SUM(G471:G472)</f>
        <v>428071.87</v>
      </c>
      <c r="H473" s="53">
        <f>SUM(H471:H472)</f>
        <v>890243.79</v>
      </c>
      <c r="I473" s="53">
        <f>SUM(I471:I472)</f>
        <v>607658</v>
      </c>
      <c r="J473" s="53">
        <f>SUM(J471:J472)</f>
        <v>0</v>
      </c>
      <c r="K473" s="24" t="s">
        <v>289</v>
      </c>
      <c r="L473" s="24" t="s">
        <v>289</v>
      </c>
      <c r="N473" s="270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0"/>
    </row>
    <row r="475" spans="1:14" s="52" customFormat="1" ht="12" customHeight="1" x14ac:dyDescent="0.2">
      <c r="A475" s="189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1278716.9599999972</v>
      </c>
      <c r="G475" s="53">
        <f>(G464+G469)- G473</f>
        <v>2795.4599999999627</v>
      </c>
      <c r="H475" s="53">
        <f>(H464+H469)- H473</f>
        <v>153593.53999999992</v>
      </c>
      <c r="I475" s="53">
        <f>(I464+I469)- I473</f>
        <v>0</v>
      </c>
      <c r="J475" s="53">
        <f>(J464+J469)- J473</f>
        <v>647265.68000000005</v>
      </c>
      <c r="K475" s="24" t="s">
        <v>289</v>
      </c>
      <c r="L475" s="24" t="s">
        <v>289</v>
      </c>
      <c r="N475" s="270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0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0"/>
    </row>
    <row r="479" spans="1:14" s="52" customFormat="1" ht="12" customHeight="1" x14ac:dyDescent="0.2">
      <c r="A479" s="18" t="s">
        <v>909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0"/>
    </row>
    <row r="480" spans="1:14" s="52" customFormat="1" ht="12" customHeight="1" x14ac:dyDescent="0.2">
      <c r="A480" s="18" t="s">
        <v>910</v>
      </c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0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0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0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0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0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0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0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0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0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30</v>
      </c>
      <c r="G489" s="154"/>
      <c r="H489" s="154"/>
      <c r="I489" s="154"/>
      <c r="J489" s="154"/>
      <c r="K489" s="24" t="s">
        <v>289</v>
      </c>
      <c r="L489" s="24" t="s">
        <v>289</v>
      </c>
      <c r="N489" s="270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911</v>
      </c>
      <c r="G490" s="155"/>
      <c r="H490" s="154"/>
      <c r="I490" s="154"/>
      <c r="J490" s="154"/>
      <c r="K490" s="24" t="s">
        <v>289</v>
      </c>
      <c r="L490" s="24" t="s">
        <v>289</v>
      </c>
      <c r="N490" s="270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0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2012334</v>
      </c>
      <c r="G492" s="18"/>
      <c r="H492" s="18"/>
      <c r="I492" s="18"/>
      <c r="J492" s="18"/>
      <c r="K492" s="24" t="s">
        <v>289</v>
      </c>
      <c r="L492" s="24" t="s">
        <v>289</v>
      </c>
      <c r="N492" s="270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2.59</v>
      </c>
      <c r="G493" s="18"/>
      <c r="H493" s="18"/>
      <c r="I493" s="18"/>
      <c r="J493" s="18"/>
      <c r="K493" s="24" t="s">
        <v>289</v>
      </c>
      <c r="L493" s="24" t="s">
        <v>289</v>
      </c>
      <c r="N493" s="270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0</v>
      </c>
      <c r="G494" s="18"/>
      <c r="H494" s="18"/>
      <c r="I494" s="18"/>
      <c r="J494" s="18"/>
      <c r="K494" s="53">
        <f>SUM(F494:J494)</f>
        <v>0</v>
      </c>
      <c r="L494" s="24" t="s">
        <v>289</v>
      </c>
      <c r="N494" s="270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607658</v>
      </c>
      <c r="G495" s="18"/>
      <c r="H495" s="18"/>
      <c r="I495" s="18"/>
      <c r="J495" s="18"/>
      <c r="K495" s="53">
        <f t="shared" ref="K495:K502" si="35">SUM(F495:J495)</f>
        <v>607658</v>
      </c>
      <c r="L495" s="24" t="s">
        <v>289</v>
      </c>
      <c r="N495" s="270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0"/>
    </row>
    <row r="497" spans="1:14" s="52" customFormat="1" ht="12" customHeight="1" x14ac:dyDescent="0.2">
      <c r="A497" s="199" t="s">
        <v>626</v>
      </c>
      <c r="B497" s="200">
        <v>20</v>
      </c>
      <c r="C497" s="201">
        <v>9</v>
      </c>
      <c r="D497" s="202" t="s">
        <v>433</v>
      </c>
      <c r="E497" s="201"/>
      <c r="F497" s="203">
        <v>2012334</v>
      </c>
      <c r="G497" s="203"/>
      <c r="H497" s="203"/>
      <c r="I497" s="203"/>
      <c r="J497" s="203"/>
      <c r="K497" s="204">
        <f t="shared" si="35"/>
        <v>2012334</v>
      </c>
      <c r="L497" s="205" t="s">
        <v>289</v>
      </c>
      <c r="N497" s="270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509694</v>
      </c>
      <c r="G498" s="18"/>
      <c r="H498" s="18"/>
      <c r="I498" s="18"/>
      <c r="J498" s="18"/>
      <c r="K498" s="53">
        <f t="shared" si="35"/>
        <v>509694</v>
      </c>
      <c r="L498" s="24" t="s">
        <v>289</v>
      </c>
      <c r="N498" s="270"/>
    </row>
    <row r="499" spans="1:14" s="52" customFormat="1" ht="12" customHeight="1" thickTop="1" x14ac:dyDescent="0.2">
      <c r="A499" s="139" t="s">
        <v>628</v>
      </c>
      <c r="B499" s="44">
        <v>20</v>
      </c>
      <c r="C499" s="194">
        <v>11</v>
      </c>
      <c r="D499" s="39" t="s">
        <v>433</v>
      </c>
      <c r="E499" s="194"/>
      <c r="F499" s="42">
        <f>SUM(F497:F498)</f>
        <v>2522028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2522028</v>
      </c>
      <c r="L499" s="45" t="s">
        <v>289</v>
      </c>
      <c r="N499" s="270"/>
    </row>
    <row r="500" spans="1:14" s="52" customFormat="1" ht="12" customHeight="1" x14ac:dyDescent="0.2">
      <c r="A500" s="199" t="s">
        <v>655</v>
      </c>
      <c r="B500" s="200">
        <v>20</v>
      </c>
      <c r="C500" s="201">
        <v>12</v>
      </c>
      <c r="D500" s="202" t="s">
        <v>433</v>
      </c>
      <c r="E500" s="201"/>
      <c r="F500" s="203">
        <v>35870.269999999997</v>
      </c>
      <c r="G500" s="203"/>
      <c r="H500" s="203"/>
      <c r="I500" s="203"/>
      <c r="J500" s="203"/>
      <c r="K500" s="204">
        <f t="shared" si="35"/>
        <v>35870.269999999997</v>
      </c>
      <c r="L500" s="205" t="s">
        <v>289</v>
      </c>
      <c r="N500" s="270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26570.23</v>
      </c>
      <c r="G501" s="18"/>
      <c r="H501" s="18"/>
      <c r="I501" s="18"/>
      <c r="J501" s="18"/>
      <c r="K501" s="53">
        <f t="shared" si="35"/>
        <v>26570.23</v>
      </c>
      <c r="L501" s="24" t="s">
        <v>289</v>
      </c>
      <c r="N501" s="270"/>
    </row>
    <row r="502" spans="1:14" s="52" customFormat="1" ht="12" customHeight="1" thickTop="1" x14ac:dyDescent="0.2">
      <c r="A502" s="139" t="s">
        <v>630</v>
      </c>
      <c r="B502" s="44">
        <v>20</v>
      </c>
      <c r="C502" s="194">
        <v>14</v>
      </c>
      <c r="D502" s="39" t="s">
        <v>433</v>
      </c>
      <c r="E502" s="194"/>
      <c r="F502" s="42">
        <f>SUM(F500:F501)</f>
        <v>62440.5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62440.5</v>
      </c>
      <c r="L502" s="45" t="s">
        <v>289</v>
      </c>
      <c r="N502" s="270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0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0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0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0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0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0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0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0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0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0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0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0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0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6" t="s">
        <v>693</v>
      </c>
      <c r="G517" s="176" t="s">
        <v>694</v>
      </c>
      <c r="H517" s="176" t="s">
        <v>695</v>
      </c>
      <c r="I517" s="176" t="s">
        <v>696</v>
      </c>
      <c r="J517" s="176" t="s">
        <v>697</v>
      </c>
      <c r="K517" s="176" t="s">
        <v>698</v>
      </c>
      <c r="L517" s="106"/>
      <c r="N517" s="270"/>
    </row>
    <row r="518" spans="1:14" s="52" customFormat="1" ht="12" customHeight="1" x14ac:dyDescent="0.2">
      <c r="A518" s="177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0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0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53020.07+142237.8+339059.23+113120.5+204835.51+216.38+169791+272177.57</f>
        <v>1294458.06</v>
      </c>
      <c r="G520" s="18">
        <f>20913.83+166209.88+94786.32+217089.82</f>
        <v>498999.85000000003</v>
      </c>
      <c r="H520" s="18">
        <v>190744.29</v>
      </c>
      <c r="I520" s="18">
        <f>7271.29+158.05+149.39+235.42+83.74+982.34+191.38</f>
        <v>9071.6099999999988</v>
      </c>
      <c r="J520" s="18">
        <f>7878.81</f>
        <v>7878.81</v>
      </c>
      <c r="K520" s="18"/>
      <c r="L520" s="88">
        <f>SUM(F520:K520)</f>
        <v>2001152.6200000003</v>
      </c>
      <c r="N520" s="270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0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23820.61+196609.54+188743.37</f>
        <v>409173.52</v>
      </c>
      <c r="G522" s="18">
        <f>9396.08+545096.83</f>
        <v>554492.90999999992</v>
      </c>
      <c r="H522" s="18">
        <v>339991.94</v>
      </c>
      <c r="I522" s="18">
        <f>3266.81+1422.94+84.83+982.34</f>
        <v>5756.92</v>
      </c>
      <c r="J522" s="18">
        <f>3539.75</f>
        <v>3539.75</v>
      </c>
      <c r="K522" s="18"/>
      <c r="L522" s="88">
        <f>SUM(F522:K522)</f>
        <v>1312955.0399999998</v>
      </c>
      <c r="N522" s="270"/>
    </row>
    <row r="523" spans="1:14" s="52" customFormat="1" ht="12" customHeight="1" thickTop="1" x14ac:dyDescent="0.2">
      <c r="A523" s="139" t="s">
        <v>63</v>
      </c>
      <c r="B523" s="107">
        <v>21</v>
      </c>
      <c r="C523" s="194">
        <v>4</v>
      </c>
      <c r="D523" s="195" t="s">
        <v>433</v>
      </c>
      <c r="E523" s="194"/>
      <c r="F523" s="108">
        <f>SUM(F520:F522)</f>
        <v>1703631.58</v>
      </c>
      <c r="G523" s="108">
        <f t="shared" ref="G523:L523" si="36">SUM(G520:G522)</f>
        <v>1053492.76</v>
      </c>
      <c r="H523" s="108">
        <f t="shared" si="36"/>
        <v>530736.23</v>
      </c>
      <c r="I523" s="108">
        <f t="shared" si="36"/>
        <v>14828.529999999999</v>
      </c>
      <c r="J523" s="108">
        <f t="shared" si="36"/>
        <v>11418.560000000001</v>
      </c>
      <c r="K523" s="108">
        <f t="shared" si="36"/>
        <v>0</v>
      </c>
      <c r="L523" s="89">
        <f t="shared" si="36"/>
        <v>3314107.66</v>
      </c>
      <c r="N523" s="270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0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315077.43*0.69</f>
        <v>217403.42669999998</v>
      </c>
      <c r="G525" s="18">
        <f>102667.22*0.69</f>
        <v>70840.381799999988</v>
      </c>
      <c r="H525" s="18">
        <f>497006.54*0.69</f>
        <v>342934.51259999996</v>
      </c>
      <c r="I525" s="18">
        <f>1199.27*0.69</f>
        <v>827.49629999999991</v>
      </c>
      <c r="J525" s="18"/>
      <c r="K525" s="18"/>
      <c r="L525" s="88">
        <f>SUM(F525:K525)</f>
        <v>632005.81739999994</v>
      </c>
      <c r="M525" s="8"/>
      <c r="N525" s="271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4"/>
      <c r="I526" s="18"/>
      <c r="J526" s="18"/>
      <c r="K526" s="18"/>
      <c r="L526" s="88">
        <f>SUM(F526:K526)</f>
        <v>0</v>
      </c>
      <c r="M526" s="8"/>
      <c r="N526" s="271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315077.43*0.31</f>
        <v>97674.003299999997</v>
      </c>
      <c r="G527" s="18">
        <f>102667.22*0.31</f>
        <v>31826.838199999998</v>
      </c>
      <c r="H527" s="18">
        <f>497006.54*0.31</f>
        <v>154072.02739999999</v>
      </c>
      <c r="I527" s="18">
        <f>1199.27*0.31</f>
        <v>371.77370000000002</v>
      </c>
      <c r="J527" s="18"/>
      <c r="K527" s="18"/>
      <c r="L527" s="88">
        <f>SUM(F527:K527)</f>
        <v>283944.64260000002</v>
      </c>
      <c r="M527" s="8"/>
      <c r="N527" s="271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315077.43</v>
      </c>
      <c r="G528" s="89">
        <f t="shared" ref="G528:L528" si="37">SUM(G525:G527)</f>
        <v>102667.21999999999</v>
      </c>
      <c r="H528" s="89">
        <f>SUM(H525:H527)</f>
        <v>497006.53999999992</v>
      </c>
      <c r="I528" s="89">
        <f t="shared" si="37"/>
        <v>1199.27</v>
      </c>
      <c r="J528" s="89">
        <f t="shared" si="37"/>
        <v>0</v>
      </c>
      <c r="K528" s="89">
        <f t="shared" si="37"/>
        <v>0</v>
      </c>
      <c r="L528" s="89">
        <f t="shared" si="37"/>
        <v>915950.46</v>
      </c>
      <c r="M528" s="8"/>
      <c r="N528" s="271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1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129790*0.69</f>
        <v>89555.099999999991</v>
      </c>
      <c r="G530" s="18">
        <f>55688.19*0.69</f>
        <v>38424.8511</v>
      </c>
      <c r="H530" s="18">
        <f>6485.94*0.69</f>
        <v>4475.2985999999992</v>
      </c>
      <c r="I530" s="18">
        <f>1077.6*0.69</f>
        <v>743.54399999999987</v>
      </c>
      <c r="J530" s="18"/>
      <c r="K530" s="18">
        <f>20*0.69</f>
        <v>13.799999999999999</v>
      </c>
      <c r="L530" s="88">
        <f>SUM(F530:K530)</f>
        <v>133212.59369999997</v>
      </c>
      <c r="M530" s="8"/>
      <c r="N530" s="271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1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129790*0.31</f>
        <v>40234.9</v>
      </c>
      <c r="G532" s="18">
        <f>55688.19*0.31</f>
        <v>17263.338899999999</v>
      </c>
      <c r="H532" s="18">
        <f>6485.94*0.31</f>
        <v>2010.6413999999997</v>
      </c>
      <c r="I532" s="18">
        <f>1077.6*0.31</f>
        <v>334.05599999999998</v>
      </c>
      <c r="J532" s="18"/>
      <c r="K532" s="18">
        <f>20*0.31</f>
        <v>6.2</v>
      </c>
      <c r="L532" s="88">
        <f>SUM(F532:K532)</f>
        <v>59849.136299999991</v>
      </c>
      <c r="M532" s="8"/>
      <c r="N532" s="271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129790</v>
      </c>
      <c r="G533" s="89">
        <f t="shared" ref="G533:L533" si="38">SUM(G530:G532)</f>
        <v>55688.19</v>
      </c>
      <c r="H533" s="89">
        <f t="shared" si="38"/>
        <v>6485.9399999999987</v>
      </c>
      <c r="I533" s="89">
        <f t="shared" si="38"/>
        <v>1077.5999999999999</v>
      </c>
      <c r="J533" s="89">
        <f t="shared" si="38"/>
        <v>0</v>
      </c>
      <c r="K533" s="89">
        <f t="shared" si="38"/>
        <v>20</v>
      </c>
      <c r="L533" s="89">
        <f t="shared" si="38"/>
        <v>193061.72999999995</v>
      </c>
      <c r="M533" s="8"/>
      <c r="N533" s="271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3" t="s">
        <v>289</v>
      </c>
      <c r="G534" s="193" t="s">
        <v>289</v>
      </c>
      <c r="H534" s="193" t="s">
        <v>289</v>
      </c>
      <c r="I534" s="193" t="s">
        <v>289</v>
      </c>
      <c r="J534" s="193" t="s">
        <v>289</v>
      </c>
      <c r="K534" s="193" t="s">
        <v>289</v>
      </c>
      <c r="L534" s="193" t="s">
        <v>289</v>
      </c>
      <c r="M534" s="8"/>
      <c r="N534" s="271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f>22372.17*0.69</f>
        <v>15436.797299999998</v>
      </c>
      <c r="I535" s="18"/>
      <c r="J535" s="18"/>
      <c r="K535" s="18"/>
      <c r="L535" s="88">
        <f>SUM(F535:K535)</f>
        <v>15436.797299999998</v>
      </c>
      <c r="M535" s="8"/>
      <c r="N535" s="271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1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f>22372.17*0.31</f>
        <v>6935.372699999999</v>
      </c>
      <c r="I537" s="18"/>
      <c r="J537" s="18"/>
      <c r="K537" s="18"/>
      <c r="L537" s="88">
        <f>SUM(F537:K537)</f>
        <v>6935.372699999999</v>
      </c>
      <c r="M537" s="8"/>
      <c r="N537" s="271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22372.17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22372.17</v>
      </c>
      <c r="M538" s="8"/>
      <c r="N538" s="271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1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227566.18*0.69</f>
        <v>157020.66419999997</v>
      </c>
      <c r="I540" s="18"/>
      <c r="J540" s="18"/>
      <c r="K540" s="18"/>
      <c r="L540" s="88">
        <f>SUM(F540:K540)</f>
        <v>157020.66419999997</v>
      </c>
      <c r="M540" s="8"/>
      <c r="N540" s="271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1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f>227566.18*0.31</f>
        <v>70545.515799999994</v>
      </c>
      <c r="I542" s="18"/>
      <c r="J542" s="18"/>
      <c r="K542" s="18"/>
      <c r="L542" s="88">
        <f>SUM(F542:K542)</f>
        <v>70545.515799999994</v>
      </c>
      <c r="M542" s="8"/>
      <c r="N542" s="271"/>
    </row>
    <row r="543" spans="1:14" s="3" customFormat="1" ht="12" customHeight="1" thickTop="1" thickBot="1" x14ac:dyDescent="0.2">
      <c r="A543" s="130" t="s">
        <v>71</v>
      </c>
      <c r="B543" s="190">
        <v>21</v>
      </c>
      <c r="C543" s="190">
        <v>20</v>
      </c>
      <c r="D543" s="191" t="s">
        <v>433</v>
      </c>
      <c r="E543" s="190"/>
      <c r="F543" s="192">
        <f>SUM(F540:F542)</f>
        <v>0</v>
      </c>
      <c r="G543" s="192">
        <f t="shared" ref="G543:L543" si="40">SUM(G540:G542)</f>
        <v>0</v>
      </c>
      <c r="H543" s="192">
        <f t="shared" si="40"/>
        <v>227566.17999999996</v>
      </c>
      <c r="I543" s="192">
        <f t="shared" si="40"/>
        <v>0</v>
      </c>
      <c r="J543" s="192">
        <f t="shared" si="40"/>
        <v>0</v>
      </c>
      <c r="K543" s="192">
        <f t="shared" si="40"/>
        <v>0</v>
      </c>
      <c r="L543" s="192">
        <f t="shared" si="40"/>
        <v>227566.17999999996</v>
      </c>
      <c r="M543" s="8"/>
      <c r="N543" s="271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2148499.0099999998</v>
      </c>
      <c r="G544" s="89">
        <f t="shared" ref="G544:L544" si="41">G523+G528+G533+G538+G543</f>
        <v>1211848.17</v>
      </c>
      <c r="H544" s="89">
        <f t="shared" si="41"/>
        <v>1284167.0599999998</v>
      </c>
      <c r="I544" s="89">
        <f t="shared" si="41"/>
        <v>17105.399999999998</v>
      </c>
      <c r="J544" s="89">
        <f t="shared" si="41"/>
        <v>11418.560000000001</v>
      </c>
      <c r="K544" s="89">
        <f t="shared" si="41"/>
        <v>20</v>
      </c>
      <c r="L544" s="89">
        <f t="shared" si="41"/>
        <v>4673058.1999999993</v>
      </c>
      <c r="M544" s="8"/>
      <c r="N544" s="271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1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1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1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2001152.6200000003</v>
      </c>
      <c r="G548" s="87">
        <f>L525</f>
        <v>632005.81739999994</v>
      </c>
      <c r="H548" s="87">
        <f>L530</f>
        <v>133212.59369999997</v>
      </c>
      <c r="I548" s="87">
        <f>L535</f>
        <v>15436.797299999998</v>
      </c>
      <c r="J548" s="87">
        <f>L540</f>
        <v>157020.66419999997</v>
      </c>
      <c r="K548" s="87">
        <f>SUM(F548:J548)</f>
        <v>2938828.4926000005</v>
      </c>
      <c r="L548" s="24" t="s">
        <v>289</v>
      </c>
      <c r="M548" s="8"/>
      <c r="N548" s="271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1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1312955.0399999998</v>
      </c>
      <c r="G550" s="87">
        <f>L527</f>
        <v>283944.64260000002</v>
      </c>
      <c r="H550" s="87">
        <f>L532</f>
        <v>59849.136299999991</v>
      </c>
      <c r="I550" s="87">
        <f>L537</f>
        <v>6935.372699999999</v>
      </c>
      <c r="J550" s="87">
        <f>L542</f>
        <v>70545.515799999994</v>
      </c>
      <c r="K550" s="87">
        <f>SUM(F550:J550)</f>
        <v>1734229.7073999997</v>
      </c>
      <c r="L550" s="24" t="s">
        <v>289</v>
      </c>
      <c r="M550" s="8"/>
      <c r="N550" s="271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3314107.66</v>
      </c>
      <c r="G551" s="89">
        <f t="shared" si="42"/>
        <v>915950.46</v>
      </c>
      <c r="H551" s="89">
        <f t="shared" si="42"/>
        <v>193061.72999999995</v>
      </c>
      <c r="I551" s="89">
        <f t="shared" si="42"/>
        <v>22372.17</v>
      </c>
      <c r="J551" s="89">
        <f t="shared" si="42"/>
        <v>227566.17999999996</v>
      </c>
      <c r="K551" s="89">
        <f t="shared" si="42"/>
        <v>4673058.2</v>
      </c>
      <c r="L551" s="24"/>
      <c r="M551" s="8"/>
      <c r="N551" s="271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1"/>
    </row>
    <row r="553" spans="1:14" s="3" customFormat="1" ht="12" customHeight="1" x14ac:dyDescent="0.15">
      <c r="B553" s="105"/>
      <c r="C553" s="115"/>
      <c r="D553" s="115"/>
      <c r="E553" s="115"/>
      <c r="F553" s="176" t="s">
        <v>693</v>
      </c>
      <c r="G553" s="176" t="s">
        <v>694</v>
      </c>
      <c r="H553" s="176" t="s">
        <v>695</v>
      </c>
      <c r="I553" s="176" t="s">
        <v>696</v>
      </c>
      <c r="J553" s="176" t="s">
        <v>697</v>
      </c>
      <c r="K553" s="176" t="s">
        <v>698</v>
      </c>
      <c r="L553" s="106"/>
      <c r="M553" s="8"/>
      <c r="N553" s="271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1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1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1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1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1"/>
    </row>
    <row r="559" spans="1:14" s="3" customFormat="1" ht="12" customHeight="1" thickTop="1" x14ac:dyDescent="0.15">
      <c r="A559" s="139" t="s">
        <v>63</v>
      </c>
      <c r="B559" s="107">
        <v>22</v>
      </c>
      <c r="C559" s="194">
        <v>4</v>
      </c>
      <c r="D559" s="195" t="s">
        <v>433</v>
      </c>
      <c r="E559" s="194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1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1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1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1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1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5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1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1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1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1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1"/>
    </row>
    <row r="569" spans="1:14" s="3" customFormat="1" ht="12" customHeight="1" thickTop="1" thickBot="1" x14ac:dyDescent="0.2">
      <c r="A569" s="130" t="s">
        <v>67</v>
      </c>
      <c r="B569" s="190">
        <v>22</v>
      </c>
      <c r="C569" s="190">
        <v>12</v>
      </c>
      <c r="D569" s="196" t="s">
        <v>433</v>
      </c>
      <c r="E569" s="190"/>
      <c r="F569" s="192">
        <f>SUM(F566:F568)</f>
        <v>0</v>
      </c>
      <c r="G569" s="192">
        <f t="shared" ref="G569:L569" si="45">SUM(G566:G568)</f>
        <v>0</v>
      </c>
      <c r="H569" s="192">
        <f t="shared" si="45"/>
        <v>0</v>
      </c>
      <c r="I569" s="192">
        <f t="shared" si="45"/>
        <v>0</v>
      </c>
      <c r="J569" s="192">
        <f t="shared" si="45"/>
        <v>0</v>
      </c>
      <c r="K569" s="192">
        <f t="shared" si="45"/>
        <v>0</v>
      </c>
      <c r="L569" s="192">
        <f t="shared" si="45"/>
        <v>0</v>
      </c>
      <c r="M569" s="8"/>
      <c r="N569" s="271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1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1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1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1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 t="s">
        <v>287</v>
      </c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1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1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1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1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>
        <v>149914.26999999999</v>
      </c>
      <c r="I579" s="87">
        <f t="shared" si="47"/>
        <v>149914.26999999999</v>
      </c>
      <c r="J579" s="24" t="s">
        <v>289</v>
      </c>
      <c r="K579" s="24" t="s">
        <v>289</v>
      </c>
      <c r="L579" s="24" t="s">
        <v>289</v>
      </c>
      <c r="M579" s="8"/>
      <c r="N579" s="271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1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166043.76</v>
      </c>
      <c r="G581" s="18"/>
      <c r="H581" s="18">
        <v>255451.82</v>
      </c>
      <c r="I581" s="87">
        <f t="shared" si="47"/>
        <v>421495.58</v>
      </c>
      <c r="J581" s="24" t="s">
        <v>289</v>
      </c>
      <c r="K581" s="24" t="s">
        <v>289</v>
      </c>
      <c r="L581" s="24" t="s">
        <v>289</v>
      </c>
      <c r="M581" s="8"/>
      <c r="N581" s="271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4167</v>
      </c>
      <c r="G582" s="18"/>
      <c r="H582" s="18"/>
      <c r="I582" s="87">
        <f t="shared" si="47"/>
        <v>4167</v>
      </c>
      <c r="J582" s="24" t="s">
        <v>289</v>
      </c>
      <c r="K582" s="24" t="s">
        <v>289</v>
      </c>
      <c r="L582" s="24" t="s">
        <v>289</v>
      </c>
      <c r="M582" s="8"/>
      <c r="N582" s="271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1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>
        <v>268597.65000000002</v>
      </c>
      <c r="I584" s="87">
        <f t="shared" si="47"/>
        <v>268597.65000000002</v>
      </c>
      <c r="J584" s="24" t="s">
        <v>289</v>
      </c>
      <c r="K584" s="24" t="s">
        <v>289</v>
      </c>
      <c r="L584" s="24" t="s">
        <v>289</v>
      </c>
      <c r="M584" s="8"/>
      <c r="N584" s="271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1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1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1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1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571901.3*0.69</f>
        <v>394611.897</v>
      </c>
      <c r="I590" s="18"/>
      <c r="J590" s="18">
        <f>571901.3*0.31</f>
        <v>177289.40300000002</v>
      </c>
      <c r="K590" s="104">
        <f t="shared" ref="K590:K596" si="48">SUM(H590:J590)</f>
        <v>571901.30000000005</v>
      </c>
      <c r="L590" s="24" t="s">
        <v>289</v>
      </c>
      <c r="M590" s="8"/>
      <c r="N590" s="271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227566.18*0.69</f>
        <v>157020.66419999997</v>
      </c>
      <c r="I591" s="18"/>
      <c r="J591" s="18">
        <f>227566.18*0.31</f>
        <v>70545.515799999994</v>
      </c>
      <c r="K591" s="104">
        <f t="shared" si="48"/>
        <v>227566.17999999996</v>
      </c>
      <c r="L591" s="24" t="s">
        <v>289</v>
      </c>
      <c r="M591" s="8"/>
      <c r="N591" s="271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74279.33</v>
      </c>
      <c r="K592" s="104">
        <f t="shared" si="48"/>
        <v>74279.33</v>
      </c>
      <c r="L592" s="24" t="s">
        <v>289</v>
      </c>
      <c r="M592" s="8"/>
      <c r="N592" s="271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f>4408.7+8334.73</f>
        <v>12743.43</v>
      </c>
      <c r="I593" s="18"/>
      <c r="J593" s="18">
        <v>29611.57</v>
      </c>
      <c r="K593" s="104">
        <f t="shared" si="48"/>
        <v>42355</v>
      </c>
      <c r="L593" s="24" t="s">
        <v>289</v>
      </c>
      <c r="M593" s="8"/>
      <c r="N593" s="271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4800.81+2980.8</f>
        <v>7781.6100000000006</v>
      </c>
      <c r="I594" s="18"/>
      <c r="J594" s="18">
        <v>2768.62</v>
      </c>
      <c r="K594" s="104">
        <f t="shared" si="48"/>
        <v>10550.23</v>
      </c>
      <c r="L594" s="24" t="s">
        <v>289</v>
      </c>
      <c r="M594" s="8"/>
      <c r="N594" s="271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1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1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572157.60120000003</v>
      </c>
      <c r="I597" s="108">
        <f>SUM(I590:I596)</f>
        <v>0</v>
      </c>
      <c r="J597" s="108">
        <f>SUM(J590:J596)</f>
        <v>354494.4388</v>
      </c>
      <c r="K597" s="108">
        <f>SUM(K590:K596)</f>
        <v>926652.03999999992</v>
      </c>
      <c r="L597" s="24" t="s">
        <v>289</v>
      </c>
      <c r="M597" s="8"/>
      <c r="N597" s="271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1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1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1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1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97816.28+1794+27308.86+28266.83+45491.92+2990+19597.11+2849.68+1000+1000</f>
        <v>228114.68</v>
      </c>
      <c r="I603" s="18"/>
      <c r="J603" s="18">
        <f>43946.44+806+110474.88+8804.51+1280.3+9000</f>
        <v>174312.13</v>
      </c>
      <c r="K603" s="104">
        <f>SUM(H603:J603)</f>
        <v>402426.81</v>
      </c>
      <c r="L603" s="24" t="s">
        <v>289</v>
      </c>
      <c r="M603" s="8"/>
      <c r="N603" s="271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228114.68</v>
      </c>
      <c r="I604" s="108">
        <f>SUM(I601:I603)</f>
        <v>0</v>
      </c>
      <c r="J604" s="108">
        <f>SUM(J601:J603)</f>
        <v>174312.13</v>
      </c>
      <c r="K604" s="108">
        <f>SUM(K601:K603)</f>
        <v>402426.81</v>
      </c>
      <c r="L604" s="24" t="s">
        <v>289</v>
      </c>
      <c r="M604" s="8"/>
      <c r="N604" s="271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1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" customHeight="1" x14ac:dyDescent="0.15">
      <c r="B608" s="105"/>
      <c r="C608" s="105"/>
      <c r="D608" s="105"/>
      <c r="E608" s="105"/>
      <c r="F608" s="176" t="s">
        <v>693</v>
      </c>
      <c r="G608" s="176" t="s">
        <v>694</v>
      </c>
      <c r="H608" s="176" t="s">
        <v>695</v>
      </c>
      <c r="I608" s="176" t="s">
        <v>696</v>
      </c>
      <c r="J608" s="176" t="s">
        <v>697</v>
      </c>
      <c r="K608" s="176" t="s">
        <v>698</v>
      </c>
      <c r="L608" s="88"/>
      <c r="M608" s="8"/>
      <c r="N608" s="271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1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20427.96*0.69</f>
        <v>14095.292399999998</v>
      </c>
      <c r="G610" s="18">
        <f>2486.23*0.69</f>
        <v>1715.4986999999999</v>
      </c>
      <c r="H610" s="18">
        <f>28769.2*0.69</f>
        <v>19850.748</v>
      </c>
      <c r="I610" s="18">
        <f>50*0.69</f>
        <v>34.5</v>
      </c>
      <c r="J610" s="18"/>
      <c r="K610" s="18"/>
      <c r="L610" s="88">
        <f>SUM(F610:K610)</f>
        <v>35696.039099999995</v>
      </c>
      <c r="M610" s="8"/>
      <c r="N610" s="271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4"/>
      <c r="G611" s="18"/>
      <c r="H611" s="18"/>
      <c r="I611" s="18"/>
      <c r="J611" s="18"/>
      <c r="K611" s="18"/>
      <c r="L611" s="88">
        <f>SUM(F611:K611)</f>
        <v>0</v>
      </c>
      <c r="M611" s="8"/>
      <c r="N611" s="271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f>20427.96*0.31</f>
        <v>6332.6675999999998</v>
      </c>
      <c r="G612" s="18">
        <f>2486.23*0.31</f>
        <v>770.73130000000003</v>
      </c>
      <c r="H612" s="18">
        <f>28769.2*0.31</f>
        <v>8918.4519999999993</v>
      </c>
      <c r="I612" s="18">
        <f>50*0.31</f>
        <v>15.5</v>
      </c>
      <c r="J612" s="18"/>
      <c r="K612" s="18"/>
      <c r="L612" s="88">
        <f>SUM(F612:K612)</f>
        <v>16037.350899999999</v>
      </c>
      <c r="M612" s="8"/>
      <c r="N612" s="271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20427.96</v>
      </c>
      <c r="G613" s="108">
        <f>SUM(G610:G612)</f>
        <v>2486.23</v>
      </c>
      <c r="H613" s="108">
        <f t="shared" si="49"/>
        <v>28769.199999999997</v>
      </c>
      <c r="I613" s="108">
        <f t="shared" si="49"/>
        <v>50</v>
      </c>
      <c r="J613" s="108">
        <f t="shared" si="49"/>
        <v>0</v>
      </c>
      <c r="K613" s="108">
        <f t="shared" si="49"/>
        <v>0</v>
      </c>
      <c r="L613" s="89">
        <f t="shared" si="49"/>
        <v>51733.389999999992</v>
      </c>
      <c r="M613" s="8"/>
      <c r="N613" s="271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1293342.6700000002</v>
      </c>
      <c r="H616" s="109">
        <f>SUM(F51)</f>
        <v>1293342.67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38512.239999999998</v>
      </c>
      <c r="H617" s="109">
        <f>SUM(G51)</f>
        <v>38512.239999999998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109395.41</v>
      </c>
      <c r="H618" s="109">
        <f>SUM(H51)</f>
        <v>109395.40999999997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647265.68000000005</v>
      </c>
      <c r="H620" s="109">
        <f>SUM(J51)</f>
        <v>647265.68000000005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1278716.96</v>
      </c>
      <c r="H621" s="109">
        <f>F475</f>
        <v>1278716.9599999972</v>
      </c>
      <c r="I621" s="121" t="s">
        <v>101</v>
      </c>
      <c r="J621" s="109">
        <f t="shared" ref="J621:J654" si="50">G621-H621</f>
        <v>2.7939677238464355E-9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2795.46</v>
      </c>
      <c r="H622" s="109">
        <f>G475</f>
        <v>2795.4599999999627</v>
      </c>
      <c r="I622" s="121" t="s">
        <v>102</v>
      </c>
      <c r="J622" s="109">
        <f t="shared" si="50"/>
        <v>3.7289282772690058E-11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153593.53999999998</v>
      </c>
      <c r="H623" s="109">
        <f>H475</f>
        <v>153593.53999999992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647265.68000000005</v>
      </c>
      <c r="H625" s="109">
        <f>J475</f>
        <v>647265.68000000005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19504661.080000002</v>
      </c>
      <c r="H626" s="104">
        <f>SUM(F467)</f>
        <v>19504661.079999998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429491.11</v>
      </c>
      <c r="H627" s="104">
        <f>SUM(G467)</f>
        <v>429491.11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923736.87</v>
      </c>
      <c r="H628" s="104">
        <f>SUM(H467)</f>
        <v>923736.87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607658</v>
      </c>
      <c r="H629" s="104">
        <f>SUM(I467)</f>
        <v>607658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25473.78</v>
      </c>
      <c r="H630" s="104">
        <f>SUM(J467)</f>
        <v>25473.78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19626077.409999996</v>
      </c>
      <c r="H631" s="104">
        <f>SUM(F471)</f>
        <v>19626077.41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890243.79</v>
      </c>
      <c r="H632" s="104">
        <f>SUM(H471)</f>
        <v>890243.79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428071.87</v>
      </c>
      <c r="H634" s="104">
        <f>SUM(G471)</f>
        <v>428071.87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607658</v>
      </c>
      <c r="H635" s="104">
        <f>SUM(I471)</f>
        <v>607658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25473.78</v>
      </c>
      <c r="H636" s="164">
        <f>SUM(J467)</f>
        <v>25473.78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647265.68000000005</v>
      </c>
      <c r="H638" s="104">
        <f>SUM(F460)</f>
        <v>647265.68000000005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647265.68000000005</v>
      </c>
      <c r="H641" s="104">
        <f>SUM(I460)</f>
        <v>647265.68000000005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473.78</v>
      </c>
      <c r="H643" s="104">
        <f>H407</f>
        <v>473.78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25000</v>
      </c>
      <c r="H644" s="104">
        <f>G407</f>
        <v>25000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25473.78</v>
      </c>
      <c r="H645" s="104">
        <f>L407</f>
        <v>25473.78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926652.03999999992</v>
      </c>
      <c r="H646" s="104">
        <f>L207+L225+L243</f>
        <v>926652.04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402426.81</v>
      </c>
      <c r="H647" s="104">
        <f>(J256+J337)-(J254+J335)</f>
        <v>402426.80999999994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572157.6</v>
      </c>
      <c r="H648" s="104">
        <f>H597</f>
        <v>572157.60120000003</v>
      </c>
      <c r="I648" s="140" t="s">
        <v>389</v>
      </c>
      <c r="J648" s="109">
        <f t="shared" si="50"/>
        <v>-1.2000000569969416E-3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354494.44</v>
      </c>
      <c r="H650" s="104">
        <f>J597</f>
        <v>354494.4388</v>
      </c>
      <c r="I650" s="140" t="s">
        <v>391</v>
      </c>
      <c r="J650" s="109">
        <f t="shared" si="50"/>
        <v>1.1999999987892807E-3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25000</v>
      </c>
      <c r="H654" s="104">
        <f>K265+K346</f>
        <v>25000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13819505.660299998</v>
      </c>
      <c r="G659" s="19">
        <f>(L228+L308+L358)</f>
        <v>0</v>
      </c>
      <c r="H659" s="19">
        <f>(L246+L327+L359)</f>
        <v>7099887.4096999997</v>
      </c>
      <c r="I659" s="19">
        <f>SUM(F659:H659)</f>
        <v>20919393.069999997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160691.34</v>
      </c>
      <c r="G660" s="19">
        <f>(L358/IF(SUM(L357:L359)=0,1,SUM(L357:L359))*(SUM(G96:G109)))</f>
        <v>0</v>
      </c>
      <c r="H660" s="19">
        <f>(L359/IF(SUM(L357:L359)=0,1,SUM(L357:L359))*(SUM(G96:G109)))</f>
        <v>72194.659999999989</v>
      </c>
      <c r="I660" s="19">
        <f>SUM(F660:H660)</f>
        <v>232886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572157.6</v>
      </c>
      <c r="G661" s="19">
        <f>(L225+L305)-(J225+J305)</f>
        <v>0</v>
      </c>
      <c r="H661" s="19">
        <f>(L243+L324)-(J243+J324)</f>
        <v>354494.44</v>
      </c>
      <c r="I661" s="19">
        <f>SUM(F661:H661)</f>
        <v>926652.04</v>
      </c>
      <c r="J661"/>
      <c r="K661" s="13"/>
      <c r="L661" s="13"/>
      <c r="M661" s="8"/>
    </row>
    <row r="662" spans="1:13" s="3" customFormat="1" ht="12" customHeight="1" x14ac:dyDescent="0.15">
      <c r="A662" s="197" t="s">
        <v>129</v>
      </c>
      <c r="B662" s="169"/>
      <c r="C662" s="169"/>
      <c r="D662" s="169"/>
      <c r="E662" s="169"/>
      <c r="F662" s="198">
        <f>SUM(F574:F586)+SUM(H601:H603)+SUM(L610)</f>
        <v>434021.4791</v>
      </c>
      <c r="G662" s="198">
        <f>SUM(G574:G586)+SUM(I601:I603)+L611</f>
        <v>0</v>
      </c>
      <c r="H662" s="198">
        <f>SUM(H574:H586)+SUM(J601:J603)+L612</f>
        <v>864313.22089999996</v>
      </c>
      <c r="I662" s="19">
        <f>SUM(F662:H662)</f>
        <v>1298334.7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12652635.241199998</v>
      </c>
      <c r="G663" s="19">
        <f>G659-SUM(G660:G662)</f>
        <v>0</v>
      </c>
      <c r="H663" s="19">
        <f>H659-SUM(H660:H662)</f>
        <v>5808885.0888</v>
      </c>
      <c r="I663" s="19">
        <f>I659-SUM(I660:I662)</f>
        <v>18461520.329999998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6">
        <v>832.76</v>
      </c>
      <c r="G664" s="247"/>
      <c r="H664" s="247">
        <v>378.88</v>
      </c>
      <c r="I664" s="19">
        <f>SUM(F664:H664)</f>
        <v>1211.6399999999999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15193.62</v>
      </c>
      <c r="G666" s="19" t="e">
        <f>ROUND(G663/G664,2)</f>
        <v>#DIV/0!</v>
      </c>
      <c r="H666" s="19">
        <f>ROUND(H663/H664,2)</f>
        <v>15331.73</v>
      </c>
      <c r="I666" s="19">
        <f>ROUND(I663/I664,2)</f>
        <v>15236.8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-13.88</v>
      </c>
      <c r="I669" s="19">
        <f>SUM(F669:H669)</f>
        <v>-13.88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15193.62</v>
      </c>
      <c r="G671" s="19" t="e">
        <f>ROUND((G663+G668)/(G664+G669),2)</f>
        <v>#DIV/0!</v>
      </c>
      <c r="H671" s="19">
        <f>ROUND((H663+H668)/(H664+H669),2)</f>
        <v>15914.75</v>
      </c>
      <c r="I671" s="19">
        <f>ROUND((I663+I668)/(I664+I669),2)</f>
        <v>15413.37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3" sqref="C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Mascoma Valley</v>
      </c>
      <c r="C1" s="237" t="s">
        <v>839</v>
      </c>
    </row>
    <row r="2" spans="1:3" x14ac:dyDescent="0.2">
      <c r="A2" s="232"/>
      <c r="B2" s="231"/>
    </row>
    <row r="3" spans="1:3" x14ac:dyDescent="0.2">
      <c r="A3" s="276" t="s">
        <v>784</v>
      </c>
      <c r="B3" s="276"/>
      <c r="C3" s="276"/>
    </row>
    <row r="4" spans="1:3" x14ac:dyDescent="0.2">
      <c r="A4" s="235"/>
      <c r="B4" s="236" t="str">
        <f>'DOE25'!H1</f>
        <v>DOE 25  2012-2013</v>
      </c>
      <c r="C4" s="235"/>
    </row>
    <row r="5" spans="1:3" x14ac:dyDescent="0.2">
      <c r="A5" s="232"/>
      <c r="B5" s="231"/>
    </row>
    <row r="6" spans="1:3" x14ac:dyDescent="0.2">
      <c r="A6" s="226"/>
      <c r="B6" s="275" t="s">
        <v>783</v>
      </c>
      <c r="C6" s="275"/>
    </row>
    <row r="7" spans="1:3" x14ac:dyDescent="0.2">
      <c r="A7" s="238" t="s">
        <v>786</v>
      </c>
      <c r="B7" s="273" t="s">
        <v>782</v>
      </c>
      <c r="C7" s="274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'DOE25'!F196+'DOE25'!F214+'DOE25'!F232+'DOE25'!F275+'DOE25'!F294+'DOE25'!F313</f>
        <v>5615162.6799999997</v>
      </c>
      <c r="C9" s="228">
        <f>'DOE25'!G196+'DOE25'!G214+'DOE25'!G232+'DOE25'!G275+'DOE25'!G294+'DOE25'!G313</f>
        <v>2564227.9900000002</v>
      </c>
    </row>
    <row r="10" spans="1:3" x14ac:dyDescent="0.2">
      <c r="A10" t="s">
        <v>779</v>
      </c>
      <c r="B10" s="239">
        <f>4969791.56+54704.38+15000+15034.5</f>
        <v>5054530.4399999995</v>
      </c>
      <c r="C10" s="239">
        <f>75000+230367+244047.8+276629.6+378280.37+6264.95+21038.77+20897.97+36143.15+38584.64+758.34+1147.4+70854.22+65007.2+114112.58+112182.55+4145.01+846.01+84.75+108862.45+100411.11+173540.17+172749.57+961.74+22626+1114.71+1698.9+52590.92+10222.5+75000</f>
        <v>2416170.38</v>
      </c>
    </row>
    <row r="11" spans="1:3" x14ac:dyDescent="0.2">
      <c r="A11" t="s">
        <v>780</v>
      </c>
      <c r="B11" s="239">
        <f>360038.58+2000+16999</f>
        <v>379037.58</v>
      </c>
      <c r="C11" s="239">
        <f>26686.54+42721.84+2309.06+4603.94+153.12+11567.46+5806.86+3353.09+6287.77+0.78+3253.28+7531.45+2280.71+1495.92+1290.42</f>
        <v>119342.23999999999</v>
      </c>
    </row>
    <row r="12" spans="1:3" x14ac:dyDescent="0.2">
      <c r="A12" t="s">
        <v>781</v>
      </c>
      <c r="B12" s="239">
        <f>15749.94+16012.88+128751.84+9218.68+11861.32</f>
        <v>181594.66</v>
      </c>
      <c r="C12" s="239">
        <f>10434.11+1224.92+646.89+877.83+3286.52+22+52.72+83.15+60.46+722.49+1133+4895.37+1895.54+269.06+1589.42+961.03+590.75-29.89</f>
        <v>28715.370000000003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5615162.6799999997</v>
      </c>
      <c r="C13" s="230">
        <f>SUM(C10:C12)</f>
        <v>2564227.9900000002</v>
      </c>
    </row>
    <row r="14" spans="1:3" x14ac:dyDescent="0.2">
      <c r="B14" s="229"/>
      <c r="C14" s="229"/>
    </row>
    <row r="15" spans="1:3" x14ac:dyDescent="0.2">
      <c r="B15" s="275" t="s">
        <v>783</v>
      </c>
      <c r="C15" s="275"/>
    </row>
    <row r="16" spans="1:3" x14ac:dyDescent="0.2">
      <c r="A16" s="238" t="s">
        <v>787</v>
      </c>
      <c r="B16" s="273" t="s">
        <v>707</v>
      </c>
      <c r="C16" s="274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'DOE25'!F197+'DOE25'!F215+'DOE25'!F233+'DOE25'!F276+'DOE25'!F295+'DOE25'!F314</f>
        <v>2280208.69</v>
      </c>
      <c r="C18" s="228">
        <f>'DOE25'!G197+'DOE25'!G215+'DOE25'!G233+'DOE25'!G276+'DOE25'!G295+'DOE25'!G314</f>
        <v>915440.02</v>
      </c>
    </row>
    <row r="19" spans="1:3" x14ac:dyDescent="0.2">
      <c r="A19" t="s">
        <v>779</v>
      </c>
      <c r="B19" s="239">
        <f>38874+142237.8+113120.5+169791+196609.54+35279.98+31930.43+3205.8+13912.16</f>
        <v>744961.21000000008</v>
      </c>
      <c r="C19" s="239">
        <f>4738.82+38384.24+26548.36+43033.85+48172.71+14026.6+672.32+3228.72+3417.7+3442.34+4152.06+1479.47+326.91+719.7+10403.24+8322.9+16.56+12455.2+14445.34+9691.9+16071.08+12782.44+19186.37+22216.78+3986.64+430.48+8.14+5.34+245.25+17.31+1562.66+712.2</f>
        <v>324903.63</v>
      </c>
    </row>
    <row r="20" spans="1:3" x14ac:dyDescent="0.2">
      <c r="A20" t="s">
        <v>780</v>
      </c>
      <c r="B20" s="239">
        <f>24095.15+339059.23+204835.51+272177.57+188743.37+15093.54+6515.8</f>
        <v>1050520.17</v>
      </c>
      <c r="C20" s="239">
        <f>9415.34+58592.42+20220.42+97783.62+89478.07+891.44+4782.58+2372.26+8135.02+8137.36+1793.81+25475.24+15597.5+20203.47+13653.08+3.89+1030.92+2028.17+9272.36+5524.74+12833.39+14074.7+3420.84+211.37</f>
        <v>424932.01000000007</v>
      </c>
    </row>
    <row r="21" spans="1:3" x14ac:dyDescent="0.2">
      <c r="A21" t="s">
        <v>781</v>
      </c>
      <c r="B21" s="239">
        <f>87590+251827.5+216.38+387.14+23048.32+42200+16206.64+63249.93+1.4</f>
        <v>484727.31000000006</v>
      </c>
      <c r="C21" s="239">
        <f>25342.65+34871.82+29161.11+2140.38+3301.76+2471.9+2472.28+19141.08+4590.61+9786.82+4776.69+11421.54+13278.92+2846.82</f>
        <v>165604.38000000003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2280208.69</v>
      </c>
      <c r="C22" s="230">
        <f>SUM(C19:C21)</f>
        <v>915440.02000000014</v>
      </c>
    </row>
    <row r="23" spans="1:3" x14ac:dyDescent="0.2">
      <c r="B23" s="229"/>
      <c r="C23" s="229"/>
    </row>
    <row r="24" spans="1:3" x14ac:dyDescent="0.2">
      <c r="B24" s="275" t="s">
        <v>783</v>
      </c>
      <c r="C24" s="275"/>
    </row>
    <row r="25" spans="1:3" x14ac:dyDescent="0.2">
      <c r="A25" s="238" t="s">
        <v>788</v>
      </c>
      <c r="B25" s="273" t="s">
        <v>708</v>
      </c>
      <c r="C25" s="274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'DOE25'!F198+'DOE25'!F216+'DOE25'!F234+'DOE25'!F277+'DOE25'!F296+'DOE25'!F315</f>
        <v>0</v>
      </c>
      <c r="C27" s="233">
        <f>'DOE25'!G198+'DOE25'!G216+'DOE25'!G234+'DOE25'!G277+'DOE25'!G296+'DOE25'!G315</f>
        <v>0</v>
      </c>
    </row>
    <row r="28" spans="1:3" x14ac:dyDescent="0.2">
      <c r="A28" t="s">
        <v>779</v>
      </c>
      <c r="B28" s="239"/>
      <c r="C28" s="239"/>
    </row>
    <row r="29" spans="1:3" x14ac:dyDescent="0.2">
      <c r="A29" t="s">
        <v>780</v>
      </c>
      <c r="B29" s="239"/>
      <c r="C29" s="239"/>
    </row>
    <row r="30" spans="1:3" x14ac:dyDescent="0.2">
      <c r="A30" t="s">
        <v>781</v>
      </c>
      <c r="B30" s="239"/>
      <c r="C30" s="239"/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75" t="s">
        <v>783</v>
      </c>
      <c r="C33" s="275"/>
    </row>
    <row r="34" spans="1:3" x14ac:dyDescent="0.2">
      <c r="A34" s="238" t="s">
        <v>789</v>
      </c>
      <c r="B34" s="273" t="s">
        <v>709</v>
      </c>
      <c r="C34" s="274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'DOE25'!F199+'DOE25'!F217+'DOE25'!F235+'DOE25'!F278+'DOE25'!F297+'DOE25'!F316</f>
        <v>82858</v>
      </c>
      <c r="C36" s="234">
        <f>'DOE25'!G199+'DOE25'!G217+'DOE25'!G235+'DOE25'!G278+'DOE25'!G297+'DOE25'!G316</f>
        <v>9204.74</v>
      </c>
    </row>
    <row r="37" spans="1:3" x14ac:dyDescent="0.2">
      <c r="A37" t="s">
        <v>779</v>
      </c>
      <c r="B37" s="239"/>
      <c r="C37" s="239"/>
    </row>
    <row r="38" spans="1:3" x14ac:dyDescent="0.2">
      <c r="A38" t="s">
        <v>780</v>
      </c>
      <c r="B38" s="239"/>
      <c r="C38" s="239"/>
    </row>
    <row r="39" spans="1:3" x14ac:dyDescent="0.2">
      <c r="A39" t="s">
        <v>781</v>
      </c>
      <c r="B39" s="239">
        <v>82858</v>
      </c>
      <c r="C39" s="239">
        <v>9204.74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82858</v>
      </c>
      <c r="C40" s="230">
        <f>SUM(C37:C39)</f>
        <v>9204.74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0"/>
    </row>
    <row r="2" spans="1:9" x14ac:dyDescent="0.2">
      <c r="A2" s="33" t="s">
        <v>717</v>
      </c>
      <c r="B2" s="264" t="str">
        <f>'DOE25'!A2</f>
        <v>Mascoma Valley</v>
      </c>
      <c r="C2" s="180"/>
      <c r="D2" s="180" t="s">
        <v>792</v>
      </c>
      <c r="E2" s="180" t="s">
        <v>794</v>
      </c>
      <c r="F2" s="277" t="s">
        <v>821</v>
      </c>
      <c r="G2" s="278"/>
      <c r="H2" s="279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12778865.93</v>
      </c>
      <c r="D5" s="20">
        <f>SUM('DOE25'!L196:L199)+SUM('DOE25'!L214:L217)+SUM('DOE25'!L232:L235)-F5-G5</f>
        <v>12527832.08</v>
      </c>
      <c r="E5" s="242"/>
      <c r="F5" s="254">
        <f>SUM('DOE25'!J196:J199)+SUM('DOE25'!J214:J217)+SUM('DOE25'!J232:J235)</f>
        <v>238261</v>
      </c>
      <c r="G5" s="53">
        <f>SUM('DOE25'!K196:K199)+SUM('DOE25'!K214:K217)+SUM('DOE25'!K232:K235)</f>
        <v>12772.85</v>
      </c>
      <c r="H5" s="258"/>
    </row>
    <row r="6" spans="1:9" x14ac:dyDescent="0.2">
      <c r="A6" s="32">
        <v>2100</v>
      </c>
      <c r="B6" t="s">
        <v>801</v>
      </c>
      <c r="C6" s="244">
        <f t="shared" si="0"/>
        <v>1257745.9200000002</v>
      </c>
      <c r="D6" s="20">
        <f>'DOE25'!L201+'DOE25'!L219+'DOE25'!L237-F6-G6</f>
        <v>1255476.83</v>
      </c>
      <c r="E6" s="242"/>
      <c r="F6" s="254">
        <f>'DOE25'!J201+'DOE25'!J219+'DOE25'!J237</f>
        <v>2149.09</v>
      </c>
      <c r="G6" s="53">
        <f>'DOE25'!K201+'DOE25'!K219+'DOE25'!K237</f>
        <v>120</v>
      </c>
      <c r="H6" s="258"/>
    </row>
    <row r="7" spans="1:9" x14ac:dyDescent="0.2">
      <c r="A7" s="32">
        <v>2200</v>
      </c>
      <c r="B7" t="s">
        <v>834</v>
      </c>
      <c r="C7" s="244">
        <f t="shared" si="0"/>
        <v>485439.36</v>
      </c>
      <c r="D7" s="20">
        <f>'DOE25'!L202+'DOE25'!L220+'DOE25'!L238-F7-G7</f>
        <v>477643.07</v>
      </c>
      <c r="E7" s="242"/>
      <c r="F7" s="254">
        <f>'DOE25'!J202+'DOE25'!J220+'DOE25'!J238</f>
        <v>7796.29</v>
      </c>
      <c r="G7" s="53">
        <f>'DOE25'!K202+'DOE25'!K220+'DOE25'!K238</f>
        <v>0</v>
      </c>
      <c r="H7" s="258"/>
    </row>
    <row r="8" spans="1:9" x14ac:dyDescent="0.2">
      <c r="A8" s="32">
        <v>2300</v>
      </c>
      <c r="B8" t="s">
        <v>802</v>
      </c>
      <c r="C8" s="244">
        <f t="shared" si="0"/>
        <v>770193.71</v>
      </c>
      <c r="D8" s="242"/>
      <c r="E8" s="20">
        <f>'DOE25'!L203+'DOE25'!L221+'DOE25'!L239-F8-G8-D9-D11</f>
        <v>761910.72</v>
      </c>
      <c r="F8" s="254">
        <f>'DOE25'!J203+'DOE25'!J221+'DOE25'!J239</f>
        <v>2600</v>
      </c>
      <c r="G8" s="53">
        <f>'DOE25'!K203+'DOE25'!K221+'DOE25'!K239</f>
        <v>5682.99</v>
      </c>
      <c r="H8" s="258"/>
    </row>
    <row r="9" spans="1:9" x14ac:dyDescent="0.2">
      <c r="A9" s="32">
        <v>2310</v>
      </c>
      <c r="B9" t="s">
        <v>818</v>
      </c>
      <c r="C9" s="244">
        <f t="shared" si="0"/>
        <v>41718.54</v>
      </c>
      <c r="D9" s="243">
        <v>41718.54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23800</v>
      </c>
      <c r="D10" s="242"/>
      <c r="E10" s="243">
        <v>23800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204818.53</v>
      </c>
      <c r="D11" s="243">
        <f>(95339.6+5840.16+1365.92+1650.88+19034.84+8375.37+51686.8+3152.08+737.19+941.38+14100.02+4548.38)-1122.56-831.53</f>
        <v>204818.53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1234780.53</v>
      </c>
      <c r="D12" s="20">
        <f>'DOE25'!L204+'DOE25'!L222+'DOE25'!L240-F12-G12</f>
        <v>1234780.53</v>
      </c>
      <c r="E12" s="242"/>
      <c r="F12" s="254">
        <f>'DOE25'!J204+'DOE25'!J222+'DOE25'!J240</f>
        <v>0</v>
      </c>
      <c r="G12" s="53">
        <f>'DOE25'!K204+'DOE25'!K222+'DOE25'!K240</f>
        <v>0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0</v>
      </c>
      <c r="D13" s="242"/>
      <c r="E13" s="20">
        <f>'DOE25'!L205+'DOE25'!L223+'DOE25'!L241-F13-G13</f>
        <v>0</v>
      </c>
      <c r="F13" s="254">
        <f>'DOE25'!J205+'DOE25'!J223+'DOE25'!J241</f>
        <v>0</v>
      </c>
      <c r="G13" s="53">
        <f>'DOE25'!K205+'DOE25'!K223+'DOE25'!K241</f>
        <v>0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1896768.9000000001</v>
      </c>
      <c r="D14" s="20">
        <f>'DOE25'!L206+'DOE25'!L224+'DOE25'!L242-F14-G14</f>
        <v>1791670.07</v>
      </c>
      <c r="E14" s="242"/>
      <c r="F14" s="254">
        <f>'DOE25'!J206+'DOE25'!J224+'DOE25'!J242</f>
        <v>105098.83000000002</v>
      </c>
      <c r="G14" s="53">
        <f>'DOE25'!K206+'DOE25'!K224+'DOE25'!K242</f>
        <v>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926652.04</v>
      </c>
      <c r="D15" s="20">
        <f>'DOE25'!L207+'DOE25'!L225+'DOE25'!L243-F15-G15</f>
        <v>926652.04</v>
      </c>
      <c r="E15" s="242"/>
      <c r="F15" s="254">
        <f>'DOE25'!J207+'DOE25'!J225+'DOE25'!J243</f>
        <v>0</v>
      </c>
      <c r="G15" s="53">
        <f>'DOE25'!K207+'DOE25'!K225+'DOE25'!K243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4093.95</v>
      </c>
      <c r="D16" s="242"/>
      <c r="E16" s="20">
        <f>'DOE25'!L208+'DOE25'!L226+'DOE25'!L244-F16-G16</f>
        <v>4093.95</v>
      </c>
      <c r="F16" s="254">
        <f>'DOE25'!J208+'DOE25'!J226+'DOE25'!J244</f>
        <v>0</v>
      </c>
      <c r="G16" s="53">
        <f>'DOE25'!K208+'DOE25'!K226+'DOE25'!K244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'DOE25'!L250-F17-G17</f>
        <v>0</v>
      </c>
      <c r="E17" s="242"/>
      <c r="F17" s="254">
        <f>'DOE25'!J250</f>
        <v>0</v>
      </c>
      <c r="G17" s="53">
        <f>'DOE25'!K250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'DOE25'!L251-F18-G18</f>
        <v>0</v>
      </c>
      <c r="E18" s="242"/>
      <c r="F18" s="254">
        <f>'DOE25'!J251</f>
        <v>0</v>
      </c>
      <c r="G18" s="53">
        <f>'DOE25'!K251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'DOE25'!L252-F19-G19</f>
        <v>0</v>
      </c>
      <c r="E19" s="242"/>
      <c r="F19" s="254">
        <f>'DOE25'!J252</f>
        <v>0</v>
      </c>
      <c r="G19" s="53">
        <f>'DOE25'!K252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0</v>
      </c>
      <c r="D22" s="242"/>
      <c r="E22" s="242"/>
      <c r="F22" s="254">
        <f>'DOE25'!L254+'DOE25'!L335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0</v>
      </c>
      <c r="D25" s="242"/>
      <c r="E25" s="242"/>
      <c r="F25" s="257"/>
      <c r="G25" s="255"/>
      <c r="H25" s="256">
        <f>'DOE25'!L259+'DOE25'!L260+'DOE25'!L340+'DOE25'!L341</f>
        <v>0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428071.87</v>
      </c>
      <c r="D29" s="20">
        <f>'DOE25'!L357+'DOE25'!L358+'DOE25'!L359-'DOE25'!I366-F29-G29</f>
        <v>428071.87</v>
      </c>
      <c r="E29" s="242"/>
      <c r="F29" s="254">
        <f>'DOE25'!J357+'DOE25'!J358+'DOE25'!J359</f>
        <v>0</v>
      </c>
      <c r="G29" s="53">
        <f>'DOE25'!K357+'DOE25'!K358+'DOE25'!K359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890243.79</v>
      </c>
      <c r="D31" s="20">
        <f>'DOE25'!L289+'DOE25'!L308+'DOE25'!L327+'DOE25'!L332+'DOE25'!L333+'DOE25'!L334-F31-G31</f>
        <v>836320.3600000001</v>
      </c>
      <c r="E31" s="242"/>
      <c r="F31" s="254">
        <f>'DOE25'!J289+'DOE25'!J308+'DOE25'!J327+'DOE25'!J332+'DOE25'!J333+'DOE25'!J334</f>
        <v>46521.599999999999</v>
      </c>
      <c r="G31" s="53">
        <f>'DOE25'!K289+'DOE25'!K308+'DOE25'!K327+'DOE25'!K332+'DOE25'!K333+'DOE25'!K334</f>
        <v>7401.83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19724983.919999998</v>
      </c>
      <c r="E33" s="245">
        <f>SUM(E5:E31)</f>
        <v>789804.66999999993</v>
      </c>
      <c r="F33" s="245">
        <f>SUM(F5:F31)</f>
        <v>402426.81</v>
      </c>
      <c r="G33" s="245">
        <f>SUM(G5:G31)</f>
        <v>25977.67</v>
      </c>
      <c r="H33" s="245">
        <f>SUM(H5:H31)</f>
        <v>0</v>
      </c>
    </row>
    <row r="35" spans="2:8" ht="12" thickBot="1" x14ac:dyDescent="0.25">
      <c r="B35" s="252" t="s">
        <v>847</v>
      </c>
      <c r="D35" s="253">
        <f>E33</f>
        <v>789804.66999999993</v>
      </c>
      <c r="E35" s="248"/>
    </row>
    <row r="36" spans="2:8" ht="12" thickTop="1" x14ac:dyDescent="0.2">
      <c r="B36" t="s">
        <v>815</v>
      </c>
      <c r="D36" s="20">
        <f>D33</f>
        <v>19724983.919999998</v>
      </c>
    </row>
    <row r="38" spans="2:8" x14ac:dyDescent="0.2">
      <c r="B38" s="186" t="s">
        <v>903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Mascoma Valley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1319634.1100000001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-26311.439999999999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647265.68000000005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20</v>
      </c>
      <c r="D12" s="95">
        <f>'DOE25'!G13</f>
        <v>35886.1</v>
      </c>
      <c r="E12" s="95">
        <f>'DOE25'!H13</f>
        <v>86240.91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2626.14</v>
      </c>
      <c r="E13" s="95">
        <f>'DOE25'!H14</f>
        <v>2122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21032.5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 t="str">
        <f>'DOE25'!H18</f>
        <v xml:space="preserve"> 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1293342.6700000002</v>
      </c>
      <c r="D18" s="41">
        <f>SUM(D8:D17)</f>
        <v>38512.239999999998</v>
      </c>
      <c r="E18" s="41">
        <f>SUM(E8:E17)</f>
        <v>109395.41</v>
      </c>
      <c r="F18" s="41">
        <f>SUM(F8:F17)</f>
        <v>0</v>
      </c>
      <c r="G18" s="41">
        <f>SUM(G8:G17)</f>
        <v>647265.68000000005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28537.78</v>
      </c>
      <c r="E21" s="95">
        <f>'DOE25'!H22</f>
        <v>-54848.630000000005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14712.49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-86.78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7179</v>
      </c>
      <c r="E29" s="95">
        <f>'DOE25'!H30</f>
        <v>10650.5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14625.71</v>
      </c>
      <c r="D31" s="41">
        <f>SUM(D21:D30)</f>
        <v>35716.78</v>
      </c>
      <c r="E31" s="41">
        <f>SUM(E21:E30)</f>
        <v>-44198.130000000005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432734.47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647265.68000000005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2795.46</v>
      </c>
      <c r="E47" s="95">
        <f>'DOE25'!H48</f>
        <v>153593.53999999998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820982.49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1278716.96</v>
      </c>
      <c r="D49" s="41">
        <f>SUM(D34:D48)</f>
        <v>2795.46</v>
      </c>
      <c r="E49" s="41">
        <f>SUM(E34:E48)</f>
        <v>153593.53999999998</v>
      </c>
      <c r="F49" s="41">
        <f>SUM(F34:F48)</f>
        <v>0</v>
      </c>
      <c r="G49" s="41">
        <f>SUM(G34:G48)</f>
        <v>647265.68000000005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1293342.67</v>
      </c>
      <c r="D50" s="41">
        <f>D49+D31</f>
        <v>38512.239999999998</v>
      </c>
      <c r="E50" s="41">
        <f>E49+E31</f>
        <v>109395.40999999997</v>
      </c>
      <c r="F50" s="41">
        <f>F49+F31</f>
        <v>0</v>
      </c>
      <c r="G50" s="41">
        <f>G49+G31</f>
        <v>647265.68000000005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11963124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1336.32</v>
      </c>
      <c r="D56" s="24" t="s">
        <v>289</v>
      </c>
      <c r="E56" s="95">
        <f>'DOE25'!H78</f>
        <v>101200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3294.24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473.78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232886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4211.24</v>
      </c>
      <c r="D60" s="95">
        <f>SUM('DOE25'!G97:G109)</f>
        <v>0</v>
      </c>
      <c r="E60" s="95">
        <f>SUM('DOE25'!H97:H109)</f>
        <v>88978.49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8841.7999999999993</v>
      </c>
      <c r="D61" s="130">
        <f>SUM(D56:D60)</f>
        <v>232886</v>
      </c>
      <c r="E61" s="130">
        <f>SUM(E56:E60)</f>
        <v>190178.49</v>
      </c>
      <c r="F61" s="130">
        <f>SUM(F56:F60)</f>
        <v>0</v>
      </c>
      <c r="G61" s="130">
        <f>SUM(G56:G60)</f>
        <v>473.78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11971965.800000001</v>
      </c>
      <c r="D62" s="22">
        <f>D55+D61</f>
        <v>232886</v>
      </c>
      <c r="E62" s="22">
        <f>E55+E61</f>
        <v>190178.49</v>
      </c>
      <c r="F62" s="22">
        <f>F55+F61</f>
        <v>0</v>
      </c>
      <c r="G62" s="22">
        <f>G55+G61</f>
        <v>473.78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4483907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2614555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7098462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137164.01999999999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197187.00999999998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5032.0200000000004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334351.02999999997</v>
      </c>
      <c r="D77" s="130">
        <f>SUM(D71:D76)</f>
        <v>5032.0200000000004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7432813.0300000003</v>
      </c>
      <c r="D80" s="130">
        <f>SUM(D78:D79)+D77+D69</f>
        <v>5032.0200000000004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96932.67</v>
      </c>
      <c r="D87" s="95">
        <f>SUM('DOE25'!G152:G160)</f>
        <v>191573.09</v>
      </c>
      <c r="E87" s="95">
        <f>SUM('DOE25'!H152:H160)</f>
        <v>733558.38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2949.58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99882.25</v>
      </c>
      <c r="D90" s="131">
        <f>SUM(D84:D89)</f>
        <v>191573.09</v>
      </c>
      <c r="E90" s="131">
        <f>SUM(E84:E89)</f>
        <v>733558.38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25000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607658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607658</v>
      </c>
      <c r="G102" s="86">
        <f>SUM(G92:G101)</f>
        <v>25000</v>
      </c>
    </row>
    <row r="103" spans="1:7" ht="12.75" thickTop="1" thickBot="1" x14ac:dyDescent="0.25">
      <c r="A103" s="33" t="s">
        <v>765</v>
      </c>
      <c r="C103" s="86">
        <f>C62+C80+C90+C102</f>
        <v>19504661.080000002</v>
      </c>
      <c r="D103" s="86">
        <f>D62+D80+D90+D102</f>
        <v>429491.11</v>
      </c>
      <c r="E103" s="86">
        <f>E62+E80+E90+E102</f>
        <v>923736.87</v>
      </c>
      <c r="F103" s="86">
        <f>F62+F80+F90+F102</f>
        <v>607658</v>
      </c>
      <c r="G103" s="86">
        <f>G62+G80+G102</f>
        <v>25473.78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8579776.129999999</v>
      </c>
      <c r="D108" s="24" t="s">
        <v>289</v>
      </c>
      <c r="E108" s="95">
        <f>('DOE25'!L275)+('DOE25'!L294)+('DOE25'!L313)</f>
        <v>546156.01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3759558.09</v>
      </c>
      <c r="D109" s="24" t="s">
        <v>289</v>
      </c>
      <c r="E109" s="95">
        <f>('DOE25'!L276)+('DOE25'!L295)+('DOE25'!L314)</f>
        <v>244794.99999999997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268597.65000000002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170934.06</v>
      </c>
      <c r="D111" s="24" t="s">
        <v>289</v>
      </c>
      <c r="E111" s="95">
        <f>+('DOE25'!L278)+('DOE25'!L297)+('DOE25'!L316)</f>
        <v>3532.78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12778865.93</v>
      </c>
      <c r="D114" s="86">
        <f>SUM(D108:D113)</f>
        <v>0</v>
      </c>
      <c r="E114" s="86">
        <f>SUM(E108:E113)</f>
        <v>794483.79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1257745.9200000002</v>
      </c>
      <c r="D117" s="24" t="s">
        <v>289</v>
      </c>
      <c r="E117" s="95">
        <f>+('DOE25'!L280)+('DOE25'!L299)+('DOE25'!L318)</f>
        <v>37590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485439.36</v>
      </c>
      <c r="D118" s="24" t="s">
        <v>289</v>
      </c>
      <c r="E118" s="95">
        <f>+('DOE25'!L281)+('DOE25'!L300)+('DOE25'!L319)</f>
        <v>58170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1016730.78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1234780.53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1896768.9000000001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926652.04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4093.95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428071.87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6822211.4800000014</v>
      </c>
      <c r="D127" s="86">
        <f>SUM(D117:D126)</f>
        <v>428071.87</v>
      </c>
      <c r="E127" s="86">
        <f>SUM(E117:E126)</f>
        <v>95760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607658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473.78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25000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-473.77999999999884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25000</v>
      </c>
      <c r="D143" s="141">
        <f>SUM(D129:D142)</f>
        <v>0</v>
      </c>
      <c r="E143" s="141">
        <f>SUM(E129:E142)</f>
        <v>0</v>
      </c>
      <c r="F143" s="141">
        <f>SUM(F129:F142)</f>
        <v>607658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19626077.41</v>
      </c>
      <c r="D144" s="86">
        <f>(D114+D127+D143)</f>
        <v>428071.87</v>
      </c>
      <c r="E144" s="86">
        <f>(E114+E127+E143)</f>
        <v>890243.79</v>
      </c>
      <c r="F144" s="86">
        <f>(F114+F127+F143)</f>
        <v>607658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30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05/2013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11/2028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2012334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2.59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607658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607658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2012334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2012334</v>
      </c>
    </row>
    <row r="159" spans="1:9" x14ac:dyDescent="0.2">
      <c r="A159" s="22" t="s">
        <v>36</v>
      </c>
      <c r="B159" s="137">
        <f>'DOE25'!F498</f>
        <v>509694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509694</v>
      </c>
    </row>
    <row r="160" spans="1:9" x14ac:dyDescent="0.2">
      <c r="A160" s="22" t="s">
        <v>37</v>
      </c>
      <c r="B160" s="137">
        <f>'DOE25'!F499</f>
        <v>2522028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2522028</v>
      </c>
    </row>
    <row r="161" spans="1:7" x14ac:dyDescent="0.2">
      <c r="A161" s="22" t="s">
        <v>38</v>
      </c>
      <c r="B161" s="137">
        <f>'DOE25'!F500</f>
        <v>35870.269999999997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35870.269999999997</v>
      </c>
    </row>
    <row r="162" spans="1:7" x14ac:dyDescent="0.2">
      <c r="A162" s="22" t="s">
        <v>39</v>
      </c>
      <c r="B162" s="137">
        <f>'DOE25'!F501</f>
        <v>26570.23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26570.23</v>
      </c>
    </row>
    <row r="163" spans="1:7" x14ac:dyDescent="0.2">
      <c r="A163" s="22" t="s">
        <v>246</v>
      </c>
      <c r="B163" s="137">
        <f>'DOE25'!F502</f>
        <v>62440.5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62440.5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6" t="s">
        <v>717</v>
      </c>
      <c r="B2" s="185" t="str">
        <f>'DOE25'!A2</f>
        <v>Mascoma Valley</v>
      </c>
    </row>
    <row r="3" spans="1:4" x14ac:dyDescent="0.2">
      <c r="B3" s="187" t="s">
        <v>904</v>
      </c>
    </row>
    <row r="4" spans="1:4" x14ac:dyDescent="0.2">
      <c r="B4" t="s">
        <v>61</v>
      </c>
      <c r="C4" s="178">
        <f>IF('DOE25'!F664+'DOE25'!F669=0,0,ROUND('DOE25'!F671,0))</f>
        <v>15194</v>
      </c>
    </row>
    <row r="5" spans="1:4" x14ac:dyDescent="0.2">
      <c r="B5" t="s">
        <v>704</v>
      </c>
      <c r="C5" s="178">
        <f>IF('DOE25'!G664+'DOE25'!G669=0,0,ROUND('DOE25'!G671,0))</f>
        <v>0</v>
      </c>
    </row>
    <row r="6" spans="1:4" x14ac:dyDescent="0.2">
      <c r="B6" t="s">
        <v>62</v>
      </c>
      <c r="C6" s="178">
        <f>IF('DOE25'!H664+'DOE25'!H669=0,0,ROUND('DOE25'!H671,0))</f>
        <v>15915</v>
      </c>
    </row>
    <row r="7" spans="1:4" x14ac:dyDescent="0.2">
      <c r="B7" t="s">
        <v>705</v>
      </c>
      <c r="C7" s="178">
        <f>IF('DOE25'!I664+'DOE25'!I669=0,0,ROUND('DOE25'!I671,0))</f>
        <v>15413</v>
      </c>
    </row>
    <row r="9" spans="1:4" x14ac:dyDescent="0.2">
      <c r="A9" s="186" t="s">
        <v>94</v>
      </c>
      <c r="B9" s="187" t="s">
        <v>905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ROUND('DOE25'!L196+'DOE25'!L214+'DOE25'!L232+'DOE25'!L275+'DOE25'!L294+'DOE25'!L313,0)</f>
        <v>9125932</v>
      </c>
      <c r="D10" s="181">
        <f>ROUND((C10/$C$28)*100,1)</f>
        <v>44.1</v>
      </c>
    </row>
    <row r="11" spans="1:4" x14ac:dyDescent="0.2">
      <c r="A11">
        <v>1200</v>
      </c>
      <c r="B11" t="s">
        <v>707</v>
      </c>
      <c r="C11" s="178">
        <f>ROUND('DOE25'!L197+'DOE25'!L215+'DOE25'!L233+'DOE25'!L276+'DOE25'!L295+'DOE25'!L314,0)</f>
        <v>4004353</v>
      </c>
      <c r="D11" s="181">
        <f>ROUND((C11/$C$28)*100,1)</f>
        <v>19.399999999999999</v>
      </c>
    </row>
    <row r="12" spans="1:4" x14ac:dyDescent="0.2">
      <c r="A12">
        <v>1300</v>
      </c>
      <c r="B12" t="s">
        <v>708</v>
      </c>
      <c r="C12" s="178">
        <f>ROUND('DOE25'!L198+'DOE25'!L216+'DOE25'!L234+'DOE25'!L277+'DOE25'!L296+'DOE25'!L315,0)</f>
        <v>268598</v>
      </c>
      <c r="D12" s="181">
        <f>ROUND((C12/$C$28)*100,1)</f>
        <v>1.3</v>
      </c>
    </row>
    <row r="13" spans="1:4" x14ac:dyDescent="0.2">
      <c r="A13">
        <v>1400</v>
      </c>
      <c r="B13" t="s">
        <v>709</v>
      </c>
      <c r="C13" s="178">
        <f>ROUND('DOE25'!L199+'DOE25'!L217+'DOE25'!L235+'DOE25'!L278+'DOE25'!L297+'DOE25'!L316,0)</f>
        <v>174467</v>
      </c>
      <c r="D13" s="181">
        <f>ROUND((C13/$C$28)*100,1)</f>
        <v>0.8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ROUND('DOE25'!L201+'DOE25'!L219+'DOE25'!L237+'DOE25'!L280+'DOE25'!L299+'DOE25'!L318,0)</f>
        <v>1295336</v>
      </c>
      <c r="D15" s="181">
        <f t="shared" ref="D15:D27" si="0">ROUND((C15/$C$28)*100,1)</f>
        <v>6.3</v>
      </c>
    </row>
    <row r="16" spans="1:4" x14ac:dyDescent="0.2">
      <c r="A16">
        <v>2200</v>
      </c>
      <c r="B16" t="s">
        <v>711</v>
      </c>
      <c r="C16" s="178">
        <f>ROUND('DOE25'!L202+'DOE25'!L220+'DOE25'!L238+'DOE25'!L281+'DOE25'!L300+'DOE25'!L319,0)</f>
        <v>543609</v>
      </c>
      <c r="D16" s="181">
        <f t="shared" si="0"/>
        <v>2.6</v>
      </c>
    </row>
    <row r="17" spans="1:4" x14ac:dyDescent="0.2">
      <c r="A17" s="182" t="s">
        <v>727</v>
      </c>
      <c r="B17" t="s">
        <v>742</v>
      </c>
      <c r="C17" s="178">
        <f>ROUND('DOE25'!L203+'DOE25'!L208+'DOE25'!L221+'DOE25'!L226+'DOE25'!L239+'DOE25'!L244+'DOE25'!L282+'DOE25'!L287+'DOE25'!L301+'DOE25'!L306+'DOE25'!L320+'DOE25'!L325,0)</f>
        <v>1020825</v>
      </c>
      <c r="D17" s="181">
        <f t="shared" si="0"/>
        <v>4.9000000000000004</v>
      </c>
    </row>
    <row r="18" spans="1:4" x14ac:dyDescent="0.2">
      <c r="A18">
        <v>2400</v>
      </c>
      <c r="B18" t="s">
        <v>715</v>
      </c>
      <c r="C18" s="178">
        <f>ROUND('DOE25'!L204+'DOE25'!L222+'DOE25'!L240+'DOE25'!L283+'DOE25'!L302+'DOE25'!L321,0)</f>
        <v>1234781</v>
      </c>
      <c r="D18" s="181">
        <f t="shared" si="0"/>
        <v>6</v>
      </c>
    </row>
    <row r="19" spans="1:4" x14ac:dyDescent="0.2">
      <c r="A19">
        <v>2500</v>
      </c>
      <c r="B19" t="s">
        <v>712</v>
      </c>
      <c r="C19" s="178">
        <f>ROUND('DOE25'!L205+'DOE25'!L223+'DOE25'!L241+'DOE25'!L284+'DOE25'!L303+'DOE25'!L322,0)</f>
        <v>0</v>
      </c>
      <c r="D19" s="181">
        <f t="shared" si="0"/>
        <v>0</v>
      </c>
    </row>
    <row r="20" spans="1:4" x14ac:dyDescent="0.2">
      <c r="A20">
        <v>2600</v>
      </c>
      <c r="B20" t="s">
        <v>713</v>
      </c>
      <c r="C20" s="178">
        <f>ROUND('DOE25'!L206+'DOE25'!L224+'DOE25'!L242+'DOE25'!L285+'DOE25'!L304+'DOE25'!L323,0)</f>
        <v>1896769</v>
      </c>
      <c r="D20" s="181">
        <f t="shared" si="0"/>
        <v>9.1999999999999993</v>
      </c>
    </row>
    <row r="21" spans="1:4" x14ac:dyDescent="0.2">
      <c r="A21">
        <v>2700</v>
      </c>
      <c r="B21" t="s">
        <v>714</v>
      </c>
      <c r="C21" s="178">
        <f>ROUND('DOE25'!L207+'DOE25'!L225+'DOE25'!L243+'DOE25'!L286+'DOE25'!L305+'DOE25'!L324,0)</f>
        <v>926652</v>
      </c>
      <c r="D21" s="181">
        <f t="shared" si="0"/>
        <v>4.5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ROUND('DOE25'!L249+'DOE25'!L331,0)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ROUND('DOE25'!L250+'DOE25'!L251+'DOE25'!L252+'DOE25'!L253+'DOE25'!L332+'DOE25'!L333+'DOE25'!L334,0)</f>
        <v>0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ROUND('DOE25'!L260+'DOE25'!L341,0)</f>
        <v>0</v>
      </c>
      <c r="D25" s="181">
        <f t="shared" si="0"/>
        <v>0</v>
      </c>
    </row>
    <row r="26" spans="1:4" x14ac:dyDescent="0.2">
      <c r="A26" s="182" t="s">
        <v>721</v>
      </c>
      <c r="B26" t="s">
        <v>722</v>
      </c>
      <c r="C26" s="178">
        <f>'DOE25'!L267+'DOE25'!L268+'DOE25'!L348+'DOE25'!L349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ROUND('DOE25'!L361-'DOE25'!L360,0)-SUM('DOE25'!G96:G109)</f>
        <v>195186</v>
      </c>
      <c r="D27" s="181">
        <f t="shared" si="0"/>
        <v>0.9</v>
      </c>
    </row>
    <row r="28" spans="1:4" x14ac:dyDescent="0.2">
      <c r="B28" s="186" t="s">
        <v>723</v>
      </c>
      <c r="C28" s="179">
        <f>SUM(C10:C27)</f>
        <v>20686508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ROUND('DOE25'!L254+'DOE25'!L335+'DOE25'!L373+'DOE25'!L374+'DOE25'!L375+'DOE25'!L376+'DOE25'!L377+'DOE25'!L378+'DOE25'!L379,0)</f>
        <v>607658</v>
      </c>
    </row>
    <row r="30" spans="1:4" x14ac:dyDescent="0.2">
      <c r="B30" s="186" t="s">
        <v>729</v>
      </c>
      <c r="C30" s="179">
        <f>SUM(C28:C29)</f>
        <v>21294166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ROUND('DOE25'!L259+'DOE25'!L340,0)</f>
        <v>0</v>
      </c>
    </row>
    <row r="34" spans="1:4" x14ac:dyDescent="0.2">
      <c r="A34" s="186" t="s">
        <v>94</v>
      </c>
      <c r="B34" s="187" t="s">
        <v>906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ROUND('DOE25'!F59+'DOE25'!G59+'DOE25'!H59+'DOE25'!I59+'DOE25'!J59,0)</f>
        <v>11963124</v>
      </c>
      <c r="D35" s="181">
        <f t="shared" ref="D35:D40" si="1">ROUND((C35/$C$41)*100,1)</f>
        <v>56.3</v>
      </c>
    </row>
    <row r="36" spans="1:4" x14ac:dyDescent="0.2">
      <c r="B36" s="184" t="s">
        <v>743</v>
      </c>
      <c r="C36" s="178">
        <f>SUM('DOE25'!F111:J111)-SUM('DOE25'!G96:G109)+('DOE25'!F173+'DOE25'!F174+'DOE25'!I173+'DOE25'!I174)-C35</f>
        <v>199494.0700000003</v>
      </c>
      <c r="D36" s="181">
        <f t="shared" si="1"/>
        <v>0.9</v>
      </c>
    </row>
    <row r="37" spans="1:4" x14ac:dyDescent="0.2">
      <c r="A37" s="182" t="s">
        <v>851</v>
      </c>
      <c r="B37" s="184" t="s">
        <v>732</v>
      </c>
      <c r="C37" s="178">
        <f>ROUND('DOE25'!F116+'DOE25'!F117,0)</f>
        <v>7098462</v>
      </c>
      <c r="D37" s="181">
        <f t="shared" si="1"/>
        <v>33.4</v>
      </c>
    </row>
    <row r="38" spans="1:4" x14ac:dyDescent="0.2">
      <c r="A38" s="182" t="s">
        <v>738</v>
      </c>
      <c r="B38" s="184" t="s">
        <v>733</v>
      </c>
      <c r="C38" s="178">
        <f>ROUND(SUM('DOE25'!F139:J139)-SUM('DOE25'!F116:F118),0)</f>
        <v>339383</v>
      </c>
      <c r="D38" s="181">
        <f t="shared" si="1"/>
        <v>1.6</v>
      </c>
    </row>
    <row r="39" spans="1:4" x14ac:dyDescent="0.2">
      <c r="A39">
        <v>4000</v>
      </c>
      <c r="B39" s="184" t="s">
        <v>734</v>
      </c>
      <c r="C39" s="178">
        <f>ROUND('DOE25'!F168+'DOE25'!G168+'DOE25'!H168+'DOE25'!I168,0)</f>
        <v>1025014</v>
      </c>
      <c r="D39" s="181">
        <f t="shared" si="1"/>
        <v>4.8</v>
      </c>
    </row>
    <row r="40" spans="1:4" x14ac:dyDescent="0.2">
      <c r="A40" s="182" t="s">
        <v>739</v>
      </c>
      <c r="B40" s="184" t="s">
        <v>735</v>
      </c>
      <c r="C40" s="178">
        <f>ROUND(SUM('DOE25'!F188:F190)+SUM('DOE25'!G188:G190)+SUM('DOE25'!H188:H190)+SUM('DOE25'!I188:I190),0)</f>
        <v>607658</v>
      </c>
      <c r="D40" s="181">
        <f t="shared" si="1"/>
        <v>2.9</v>
      </c>
    </row>
    <row r="41" spans="1:4" x14ac:dyDescent="0.2">
      <c r="B41" s="186" t="s">
        <v>736</v>
      </c>
      <c r="C41" s="179">
        <f>SUM(C35:C40)</f>
        <v>21233135.07</v>
      </c>
      <c r="D41" s="183">
        <f>SUM(D35:D40)</f>
        <v>99.899999999999991</v>
      </c>
    </row>
    <row r="42" spans="1:4" x14ac:dyDescent="0.2">
      <c r="A42" s="182" t="s">
        <v>741</v>
      </c>
      <c r="B42" s="184" t="s">
        <v>737</v>
      </c>
      <c r="C42" s="178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2" t="s">
        <v>770</v>
      </c>
      <c r="B1" s="293"/>
      <c r="C1" s="293"/>
      <c r="D1" s="293"/>
      <c r="E1" s="293"/>
      <c r="F1" s="293"/>
      <c r="G1" s="293"/>
      <c r="H1" s="293"/>
      <c r="I1" s="293"/>
      <c r="J1" s="212"/>
      <c r="K1" s="212"/>
      <c r="L1" s="212"/>
      <c r="M1" s="213"/>
    </row>
    <row r="2" spans="1:26" ht="12.75" x14ac:dyDescent="0.2">
      <c r="A2" s="298" t="s">
        <v>767</v>
      </c>
      <c r="B2" s="299"/>
      <c r="C2" s="299"/>
      <c r="D2" s="299"/>
      <c r="E2" s="299"/>
      <c r="F2" s="296" t="str">
        <f>'DOE25'!A2</f>
        <v>Mascoma Valley</v>
      </c>
      <c r="G2" s="297"/>
      <c r="H2" s="297"/>
      <c r="I2" s="297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94" t="s">
        <v>771</v>
      </c>
      <c r="D3" s="294"/>
      <c r="E3" s="294"/>
      <c r="F3" s="294"/>
      <c r="G3" s="294"/>
      <c r="H3" s="294"/>
      <c r="I3" s="294"/>
      <c r="J3" s="294"/>
      <c r="K3" s="294"/>
      <c r="L3" s="294"/>
      <c r="M3" s="295"/>
    </row>
    <row r="4" spans="1:26" x14ac:dyDescent="0.2">
      <c r="A4" s="217"/>
      <c r="B4" s="218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0"/>
      <c r="O29" s="210"/>
      <c r="P29" s="289"/>
      <c r="Q29" s="289"/>
      <c r="R29" s="289"/>
      <c r="S29" s="289"/>
      <c r="T29" s="289"/>
      <c r="U29" s="289"/>
      <c r="V29" s="289"/>
      <c r="W29" s="289"/>
      <c r="X29" s="289"/>
      <c r="Y29" s="289"/>
      <c r="Z29" s="289"/>
      <c r="AA29" s="206"/>
      <c r="AB29" s="206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06"/>
      <c r="AO29" s="206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06"/>
      <c r="BB29" s="206"/>
      <c r="BC29" s="288"/>
      <c r="BD29" s="288"/>
      <c r="BE29" s="288"/>
      <c r="BF29" s="288"/>
      <c r="BG29" s="288"/>
      <c r="BH29" s="288"/>
      <c r="BI29" s="288"/>
      <c r="BJ29" s="288"/>
      <c r="BK29" s="288"/>
      <c r="BL29" s="288"/>
      <c r="BM29" s="288"/>
      <c r="BN29" s="206"/>
      <c r="BO29" s="206"/>
      <c r="BP29" s="288"/>
      <c r="BQ29" s="288"/>
      <c r="BR29" s="288"/>
      <c r="BS29" s="288"/>
      <c r="BT29" s="288"/>
      <c r="BU29" s="288"/>
      <c r="BV29" s="288"/>
      <c r="BW29" s="288"/>
      <c r="BX29" s="288"/>
      <c r="BY29" s="288"/>
      <c r="BZ29" s="288"/>
      <c r="CA29" s="206"/>
      <c r="CB29" s="206"/>
      <c r="CC29" s="288"/>
      <c r="CD29" s="288"/>
      <c r="CE29" s="288"/>
      <c r="CF29" s="288"/>
      <c r="CG29" s="288"/>
      <c r="CH29" s="288"/>
      <c r="CI29" s="288"/>
      <c r="CJ29" s="288"/>
      <c r="CK29" s="288"/>
      <c r="CL29" s="288"/>
      <c r="CM29" s="288"/>
      <c r="CN29" s="206"/>
      <c r="CO29" s="206"/>
      <c r="CP29" s="288"/>
      <c r="CQ29" s="288"/>
      <c r="CR29" s="288"/>
      <c r="CS29" s="288"/>
      <c r="CT29" s="288"/>
      <c r="CU29" s="288"/>
      <c r="CV29" s="288"/>
      <c r="CW29" s="288"/>
      <c r="CX29" s="288"/>
      <c r="CY29" s="288"/>
      <c r="CZ29" s="288"/>
      <c r="DA29" s="206"/>
      <c r="DB29" s="206"/>
      <c r="DC29" s="288"/>
      <c r="DD29" s="288"/>
      <c r="DE29" s="288"/>
      <c r="DF29" s="288"/>
      <c r="DG29" s="288"/>
      <c r="DH29" s="288"/>
      <c r="DI29" s="288"/>
      <c r="DJ29" s="288"/>
      <c r="DK29" s="288"/>
      <c r="DL29" s="288"/>
      <c r="DM29" s="288"/>
      <c r="DN29" s="206"/>
      <c r="DO29" s="206"/>
      <c r="DP29" s="288"/>
      <c r="DQ29" s="288"/>
      <c r="DR29" s="288"/>
      <c r="DS29" s="288"/>
      <c r="DT29" s="288"/>
      <c r="DU29" s="288"/>
      <c r="DV29" s="288"/>
      <c r="DW29" s="288"/>
      <c r="DX29" s="288"/>
      <c r="DY29" s="288"/>
      <c r="DZ29" s="288"/>
      <c r="EA29" s="206"/>
      <c r="EB29" s="206"/>
      <c r="EC29" s="288"/>
      <c r="ED29" s="288"/>
      <c r="EE29" s="288"/>
      <c r="EF29" s="288"/>
      <c r="EG29" s="288"/>
      <c r="EH29" s="288"/>
      <c r="EI29" s="288"/>
      <c r="EJ29" s="288"/>
      <c r="EK29" s="288"/>
      <c r="EL29" s="288"/>
      <c r="EM29" s="288"/>
      <c r="EN29" s="206"/>
      <c r="EO29" s="206"/>
      <c r="EP29" s="288"/>
      <c r="EQ29" s="288"/>
      <c r="ER29" s="288"/>
      <c r="ES29" s="288"/>
      <c r="ET29" s="288"/>
      <c r="EU29" s="288"/>
      <c r="EV29" s="288"/>
      <c r="EW29" s="288"/>
      <c r="EX29" s="288"/>
      <c r="EY29" s="288"/>
      <c r="EZ29" s="288"/>
      <c r="FA29" s="206"/>
      <c r="FB29" s="206"/>
      <c r="FC29" s="288"/>
      <c r="FD29" s="288"/>
      <c r="FE29" s="288"/>
      <c r="FF29" s="288"/>
      <c r="FG29" s="288"/>
      <c r="FH29" s="288"/>
      <c r="FI29" s="288"/>
      <c r="FJ29" s="288"/>
      <c r="FK29" s="288"/>
      <c r="FL29" s="288"/>
      <c r="FM29" s="288"/>
      <c r="FN29" s="206"/>
      <c r="FO29" s="206"/>
      <c r="FP29" s="288"/>
      <c r="FQ29" s="288"/>
      <c r="FR29" s="288"/>
      <c r="FS29" s="288"/>
      <c r="FT29" s="288"/>
      <c r="FU29" s="288"/>
      <c r="FV29" s="288"/>
      <c r="FW29" s="288"/>
      <c r="FX29" s="288"/>
      <c r="FY29" s="288"/>
      <c r="FZ29" s="288"/>
      <c r="GA29" s="206"/>
      <c r="GB29" s="206"/>
      <c r="GC29" s="288"/>
      <c r="GD29" s="288"/>
      <c r="GE29" s="288"/>
      <c r="GF29" s="288"/>
      <c r="GG29" s="288"/>
      <c r="GH29" s="288"/>
      <c r="GI29" s="288"/>
      <c r="GJ29" s="288"/>
      <c r="GK29" s="288"/>
      <c r="GL29" s="288"/>
      <c r="GM29" s="288"/>
      <c r="GN29" s="206"/>
      <c r="GO29" s="206"/>
      <c r="GP29" s="288"/>
      <c r="GQ29" s="288"/>
      <c r="GR29" s="288"/>
      <c r="GS29" s="288"/>
      <c r="GT29" s="288"/>
      <c r="GU29" s="288"/>
      <c r="GV29" s="288"/>
      <c r="GW29" s="288"/>
      <c r="GX29" s="288"/>
      <c r="GY29" s="288"/>
      <c r="GZ29" s="288"/>
      <c r="HA29" s="206"/>
      <c r="HB29" s="206"/>
      <c r="HC29" s="288"/>
      <c r="HD29" s="288"/>
      <c r="HE29" s="288"/>
      <c r="HF29" s="288"/>
      <c r="HG29" s="288"/>
      <c r="HH29" s="288"/>
      <c r="HI29" s="288"/>
      <c r="HJ29" s="288"/>
      <c r="HK29" s="288"/>
      <c r="HL29" s="288"/>
      <c r="HM29" s="288"/>
      <c r="HN29" s="206"/>
      <c r="HO29" s="206"/>
      <c r="HP29" s="288"/>
      <c r="HQ29" s="288"/>
      <c r="HR29" s="288"/>
      <c r="HS29" s="288"/>
      <c r="HT29" s="288"/>
      <c r="HU29" s="288"/>
      <c r="HV29" s="288"/>
      <c r="HW29" s="288"/>
      <c r="HX29" s="288"/>
      <c r="HY29" s="288"/>
      <c r="HZ29" s="288"/>
      <c r="IA29" s="206"/>
      <c r="IB29" s="206"/>
      <c r="IC29" s="288"/>
      <c r="ID29" s="288"/>
      <c r="IE29" s="288"/>
      <c r="IF29" s="288"/>
      <c r="IG29" s="288"/>
      <c r="IH29" s="288"/>
      <c r="II29" s="288"/>
      <c r="IJ29" s="288"/>
      <c r="IK29" s="288"/>
      <c r="IL29" s="288"/>
      <c r="IM29" s="288"/>
      <c r="IN29" s="206"/>
      <c r="IO29" s="206"/>
      <c r="IP29" s="288"/>
      <c r="IQ29" s="288"/>
      <c r="IR29" s="288"/>
      <c r="IS29" s="288"/>
      <c r="IT29" s="288"/>
      <c r="IU29" s="288"/>
      <c r="IV29" s="288"/>
    </row>
    <row r="30" spans="1:256" x14ac:dyDescent="0.2">
      <c r="A30" s="217"/>
      <c r="B30" s="218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0"/>
      <c r="O30" s="210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289"/>
      <c r="AA30" s="206"/>
      <c r="AB30" s="206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06"/>
      <c r="AO30" s="206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06"/>
      <c r="BB30" s="206"/>
      <c r="BC30" s="288"/>
      <c r="BD30" s="288"/>
      <c r="BE30" s="288"/>
      <c r="BF30" s="288"/>
      <c r="BG30" s="288"/>
      <c r="BH30" s="288"/>
      <c r="BI30" s="288"/>
      <c r="BJ30" s="288"/>
      <c r="BK30" s="288"/>
      <c r="BL30" s="288"/>
      <c r="BM30" s="288"/>
      <c r="BN30" s="206"/>
      <c r="BO30" s="206"/>
      <c r="BP30" s="288"/>
      <c r="BQ30" s="288"/>
      <c r="BR30" s="288"/>
      <c r="BS30" s="288"/>
      <c r="BT30" s="288"/>
      <c r="BU30" s="288"/>
      <c r="BV30" s="288"/>
      <c r="BW30" s="288"/>
      <c r="BX30" s="288"/>
      <c r="BY30" s="288"/>
      <c r="BZ30" s="288"/>
      <c r="CA30" s="206"/>
      <c r="CB30" s="206"/>
      <c r="CC30" s="288"/>
      <c r="CD30" s="288"/>
      <c r="CE30" s="288"/>
      <c r="CF30" s="288"/>
      <c r="CG30" s="288"/>
      <c r="CH30" s="288"/>
      <c r="CI30" s="288"/>
      <c r="CJ30" s="288"/>
      <c r="CK30" s="288"/>
      <c r="CL30" s="288"/>
      <c r="CM30" s="288"/>
      <c r="CN30" s="206"/>
      <c r="CO30" s="206"/>
      <c r="CP30" s="288"/>
      <c r="CQ30" s="288"/>
      <c r="CR30" s="288"/>
      <c r="CS30" s="288"/>
      <c r="CT30" s="288"/>
      <c r="CU30" s="288"/>
      <c r="CV30" s="288"/>
      <c r="CW30" s="288"/>
      <c r="CX30" s="288"/>
      <c r="CY30" s="288"/>
      <c r="CZ30" s="288"/>
      <c r="DA30" s="206"/>
      <c r="DB30" s="206"/>
      <c r="DC30" s="288"/>
      <c r="DD30" s="288"/>
      <c r="DE30" s="288"/>
      <c r="DF30" s="288"/>
      <c r="DG30" s="288"/>
      <c r="DH30" s="288"/>
      <c r="DI30" s="288"/>
      <c r="DJ30" s="288"/>
      <c r="DK30" s="288"/>
      <c r="DL30" s="288"/>
      <c r="DM30" s="288"/>
      <c r="DN30" s="206"/>
      <c r="DO30" s="206"/>
      <c r="DP30" s="288"/>
      <c r="DQ30" s="288"/>
      <c r="DR30" s="288"/>
      <c r="DS30" s="288"/>
      <c r="DT30" s="288"/>
      <c r="DU30" s="288"/>
      <c r="DV30" s="288"/>
      <c r="DW30" s="288"/>
      <c r="DX30" s="288"/>
      <c r="DY30" s="288"/>
      <c r="DZ30" s="288"/>
      <c r="EA30" s="206"/>
      <c r="EB30" s="206"/>
      <c r="EC30" s="288"/>
      <c r="ED30" s="288"/>
      <c r="EE30" s="288"/>
      <c r="EF30" s="288"/>
      <c r="EG30" s="288"/>
      <c r="EH30" s="288"/>
      <c r="EI30" s="288"/>
      <c r="EJ30" s="288"/>
      <c r="EK30" s="288"/>
      <c r="EL30" s="288"/>
      <c r="EM30" s="288"/>
      <c r="EN30" s="206"/>
      <c r="EO30" s="206"/>
      <c r="EP30" s="288"/>
      <c r="EQ30" s="288"/>
      <c r="ER30" s="288"/>
      <c r="ES30" s="288"/>
      <c r="ET30" s="288"/>
      <c r="EU30" s="288"/>
      <c r="EV30" s="288"/>
      <c r="EW30" s="288"/>
      <c r="EX30" s="288"/>
      <c r="EY30" s="288"/>
      <c r="EZ30" s="288"/>
      <c r="FA30" s="206"/>
      <c r="FB30" s="206"/>
      <c r="FC30" s="288"/>
      <c r="FD30" s="288"/>
      <c r="FE30" s="288"/>
      <c r="FF30" s="288"/>
      <c r="FG30" s="288"/>
      <c r="FH30" s="288"/>
      <c r="FI30" s="288"/>
      <c r="FJ30" s="288"/>
      <c r="FK30" s="288"/>
      <c r="FL30" s="288"/>
      <c r="FM30" s="288"/>
      <c r="FN30" s="206"/>
      <c r="FO30" s="206"/>
      <c r="FP30" s="288"/>
      <c r="FQ30" s="288"/>
      <c r="FR30" s="288"/>
      <c r="FS30" s="288"/>
      <c r="FT30" s="288"/>
      <c r="FU30" s="288"/>
      <c r="FV30" s="288"/>
      <c r="FW30" s="288"/>
      <c r="FX30" s="288"/>
      <c r="FY30" s="288"/>
      <c r="FZ30" s="288"/>
      <c r="GA30" s="206"/>
      <c r="GB30" s="206"/>
      <c r="GC30" s="288"/>
      <c r="GD30" s="288"/>
      <c r="GE30" s="288"/>
      <c r="GF30" s="288"/>
      <c r="GG30" s="288"/>
      <c r="GH30" s="288"/>
      <c r="GI30" s="288"/>
      <c r="GJ30" s="288"/>
      <c r="GK30" s="288"/>
      <c r="GL30" s="288"/>
      <c r="GM30" s="288"/>
      <c r="GN30" s="206"/>
      <c r="GO30" s="206"/>
      <c r="GP30" s="288"/>
      <c r="GQ30" s="288"/>
      <c r="GR30" s="288"/>
      <c r="GS30" s="288"/>
      <c r="GT30" s="288"/>
      <c r="GU30" s="288"/>
      <c r="GV30" s="288"/>
      <c r="GW30" s="288"/>
      <c r="GX30" s="288"/>
      <c r="GY30" s="288"/>
      <c r="GZ30" s="288"/>
      <c r="HA30" s="206"/>
      <c r="HB30" s="206"/>
      <c r="HC30" s="288"/>
      <c r="HD30" s="288"/>
      <c r="HE30" s="288"/>
      <c r="HF30" s="288"/>
      <c r="HG30" s="288"/>
      <c r="HH30" s="288"/>
      <c r="HI30" s="288"/>
      <c r="HJ30" s="288"/>
      <c r="HK30" s="288"/>
      <c r="HL30" s="288"/>
      <c r="HM30" s="288"/>
      <c r="HN30" s="206"/>
      <c r="HO30" s="206"/>
      <c r="HP30" s="288"/>
      <c r="HQ30" s="288"/>
      <c r="HR30" s="288"/>
      <c r="HS30" s="288"/>
      <c r="HT30" s="288"/>
      <c r="HU30" s="288"/>
      <c r="HV30" s="288"/>
      <c r="HW30" s="288"/>
      <c r="HX30" s="288"/>
      <c r="HY30" s="288"/>
      <c r="HZ30" s="288"/>
      <c r="IA30" s="206"/>
      <c r="IB30" s="206"/>
      <c r="IC30" s="288"/>
      <c r="ID30" s="288"/>
      <c r="IE30" s="288"/>
      <c r="IF30" s="288"/>
      <c r="IG30" s="288"/>
      <c r="IH30" s="288"/>
      <c r="II30" s="288"/>
      <c r="IJ30" s="288"/>
      <c r="IK30" s="288"/>
      <c r="IL30" s="288"/>
      <c r="IM30" s="288"/>
      <c r="IN30" s="206"/>
      <c r="IO30" s="206"/>
      <c r="IP30" s="288"/>
      <c r="IQ30" s="288"/>
      <c r="IR30" s="288"/>
      <c r="IS30" s="288"/>
      <c r="IT30" s="288"/>
      <c r="IU30" s="288"/>
      <c r="IV30" s="288"/>
    </row>
    <row r="31" spans="1:256" x14ac:dyDescent="0.2">
      <c r="A31" s="217"/>
      <c r="B31" s="218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0"/>
      <c r="O31" s="210"/>
      <c r="P31" s="289"/>
      <c r="Q31" s="289"/>
      <c r="R31" s="289"/>
      <c r="S31" s="289"/>
      <c r="T31" s="289"/>
      <c r="U31" s="289"/>
      <c r="V31" s="289"/>
      <c r="W31" s="289"/>
      <c r="X31" s="289"/>
      <c r="Y31" s="289"/>
      <c r="Z31" s="289"/>
      <c r="AA31" s="206"/>
      <c r="AB31" s="206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06"/>
      <c r="AO31" s="206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06"/>
      <c r="BB31" s="206"/>
      <c r="BC31" s="288"/>
      <c r="BD31" s="288"/>
      <c r="BE31" s="288"/>
      <c r="BF31" s="288"/>
      <c r="BG31" s="288"/>
      <c r="BH31" s="288"/>
      <c r="BI31" s="288"/>
      <c r="BJ31" s="288"/>
      <c r="BK31" s="288"/>
      <c r="BL31" s="288"/>
      <c r="BM31" s="288"/>
      <c r="BN31" s="206"/>
      <c r="BO31" s="206"/>
      <c r="BP31" s="288"/>
      <c r="BQ31" s="288"/>
      <c r="BR31" s="288"/>
      <c r="BS31" s="288"/>
      <c r="BT31" s="288"/>
      <c r="BU31" s="288"/>
      <c r="BV31" s="288"/>
      <c r="BW31" s="288"/>
      <c r="BX31" s="288"/>
      <c r="BY31" s="288"/>
      <c r="BZ31" s="288"/>
      <c r="CA31" s="206"/>
      <c r="CB31" s="206"/>
      <c r="CC31" s="288"/>
      <c r="CD31" s="288"/>
      <c r="CE31" s="288"/>
      <c r="CF31" s="288"/>
      <c r="CG31" s="288"/>
      <c r="CH31" s="288"/>
      <c r="CI31" s="288"/>
      <c r="CJ31" s="288"/>
      <c r="CK31" s="288"/>
      <c r="CL31" s="288"/>
      <c r="CM31" s="288"/>
      <c r="CN31" s="206"/>
      <c r="CO31" s="206"/>
      <c r="CP31" s="288"/>
      <c r="CQ31" s="288"/>
      <c r="CR31" s="288"/>
      <c r="CS31" s="288"/>
      <c r="CT31" s="288"/>
      <c r="CU31" s="288"/>
      <c r="CV31" s="288"/>
      <c r="CW31" s="288"/>
      <c r="CX31" s="288"/>
      <c r="CY31" s="288"/>
      <c r="CZ31" s="288"/>
      <c r="DA31" s="206"/>
      <c r="DB31" s="206"/>
      <c r="DC31" s="288"/>
      <c r="DD31" s="288"/>
      <c r="DE31" s="288"/>
      <c r="DF31" s="288"/>
      <c r="DG31" s="288"/>
      <c r="DH31" s="288"/>
      <c r="DI31" s="288"/>
      <c r="DJ31" s="288"/>
      <c r="DK31" s="288"/>
      <c r="DL31" s="288"/>
      <c r="DM31" s="288"/>
      <c r="DN31" s="206"/>
      <c r="DO31" s="206"/>
      <c r="DP31" s="288"/>
      <c r="DQ31" s="288"/>
      <c r="DR31" s="288"/>
      <c r="DS31" s="288"/>
      <c r="DT31" s="288"/>
      <c r="DU31" s="288"/>
      <c r="DV31" s="288"/>
      <c r="DW31" s="288"/>
      <c r="DX31" s="288"/>
      <c r="DY31" s="288"/>
      <c r="DZ31" s="288"/>
      <c r="EA31" s="206"/>
      <c r="EB31" s="206"/>
      <c r="EC31" s="288"/>
      <c r="ED31" s="288"/>
      <c r="EE31" s="288"/>
      <c r="EF31" s="288"/>
      <c r="EG31" s="288"/>
      <c r="EH31" s="288"/>
      <c r="EI31" s="288"/>
      <c r="EJ31" s="288"/>
      <c r="EK31" s="288"/>
      <c r="EL31" s="288"/>
      <c r="EM31" s="288"/>
      <c r="EN31" s="206"/>
      <c r="EO31" s="206"/>
      <c r="EP31" s="288"/>
      <c r="EQ31" s="288"/>
      <c r="ER31" s="288"/>
      <c r="ES31" s="288"/>
      <c r="ET31" s="288"/>
      <c r="EU31" s="288"/>
      <c r="EV31" s="288"/>
      <c r="EW31" s="288"/>
      <c r="EX31" s="288"/>
      <c r="EY31" s="288"/>
      <c r="EZ31" s="288"/>
      <c r="FA31" s="206"/>
      <c r="FB31" s="206"/>
      <c r="FC31" s="288"/>
      <c r="FD31" s="288"/>
      <c r="FE31" s="288"/>
      <c r="FF31" s="288"/>
      <c r="FG31" s="288"/>
      <c r="FH31" s="288"/>
      <c r="FI31" s="288"/>
      <c r="FJ31" s="288"/>
      <c r="FK31" s="288"/>
      <c r="FL31" s="288"/>
      <c r="FM31" s="288"/>
      <c r="FN31" s="206"/>
      <c r="FO31" s="206"/>
      <c r="FP31" s="288"/>
      <c r="FQ31" s="288"/>
      <c r="FR31" s="288"/>
      <c r="FS31" s="288"/>
      <c r="FT31" s="288"/>
      <c r="FU31" s="288"/>
      <c r="FV31" s="288"/>
      <c r="FW31" s="288"/>
      <c r="FX31" s="288"/>
      <c r="FY31" s="288"/>
      <c r="FZ31" s="288"/>
      <c r="GA31" s="206"/>
      <c r="GB31" s="206"/>
      <c r="GC31" s="288"/>
      <c r="GD31" s="288"/>
      <c r="GE31" s="288"/>
      <c r="GF31" s="288"/>
      <c r="GG31" s="288"/>
      <c r="GH31" s="288"/>
      <c r="GI31" s="288"/>
      <c r="GJ31" s="288"/>
      <c r="GK31" s="288"/>
      <c r="GL31" s="288"/>
      <c r="GM31" s="288"/>
      <c r="GN31" s="206"/>
      <c r="GO31" s="206"/>
      <c r="GP31" s="288"/>
      <c r="GQ31" s="288"/>
      <c r="GR31" s="288"/>
      <c r="GS31" s="288"/>
      <c r="GT31" s="288"/>
      <c r="GU31" s="288"/>
      <c r="GV31" s="288"/>
      <c r="GW31" s="288"/>
      <c r="GX31" s="288"/>
      <c r="GY31" s="288"/>
      <c r="GZ31" s="288"/>
      <c r="HA31" s="206"/>
      <c r="HB31" s="206"/>
      <c r="HC31" s="288"/>
      <c r="HD31" s="288"/>
      <c r="HE31" s="288"/>
      <c r="HF31" s="288"/>
      <c r="HG31" s="288"/>
      <c r="HH31" s="288"/>
      <c r="HI31" s="288"/>
      <c r="HJ31" s="288"/>
      <c r="HK31" s="288"/>
      <c r="HL31" s="288"/>
      <c r="HM31" s="288"/>
      <c r="HN31" s="206"/>
      <c r="HO31" s="206"/>
      <c r="HP31" s="288"/>
      <c r="HQ31" s="288"/>
      <c r="HR31" s="288"/>
      <c r="HS31" s="288"/>
      <c r="HT31" s="288"/>
      <c r="HU31" s="288"/>
      <c r="HV31" s="288"/>
      <c r="HW31" s="288"/>
      <c r="HX31" s="288"/>
      <c r="HY31" s="288"/>
      <c r="HZ31" s="288"/>
      <c r="IA31" s="206"/>
      <c r="IB31" s="206"/>
      <c r="IC31" s="288"/>
      <c r="ID31" s="288"/>
      <c r="IE31" s="288"/>
      <c r="IF31" s="288"/>
      <c r="IG31" s="288"/>
      <c r="IH31" s="288"/>
      <c r="II31" s="288"/>
      <c r="IJ31" s="288"/>
      <c r="IK31" s="288"/>
      <c r="IL31" s="288"/>
      <c r="IM31" s="288"/>
      <c r="IN31" s="206"/>
      <c r="IO31" s="206"/>
      <c r="IP31" s="288"/>
      <c r="IQ31" s="288"/>
      <c r="IR31" s="288"/>
      <c r="IS31" s="288"/>
      <c r="IT31" s="288"/>
      <c r="IU31" s="288"/>
      <c r="IV31" s="288"/>
    </row>
    <row r="32" spans="1:256" x14ac:dyDescent="0.2">
      <c r="A32" s="217"/>
      <c r="B32" s="218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2"/>
      <c r="O32" s="222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7"/>
      <c r="AB32" s="218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7"/>
      <c r="AO32" s="218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7"/>
      <c r="BB32" s="218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7"/>
      <c r="BO32" s="218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7"/>
      <c r="CB32" s="218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7"/>
      <c r="CO32" s="218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7"/>
      <c r="DB32" s="218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7"/>
      <c r="DO32" s="218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7"/>
      <c r="EB32" s="218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7"/>
      <c r="EO32" s="218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7"/>
      <c r="FB32" s="218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7"/>
      <c r="FO32" s="218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7"/>
      <c r="GB32" s="218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7"/>
      <c r="GO32" s="218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7"/>
      <c r="HB32" s="218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7"/>
      <c r="HO32" s="218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7"/>
      <c r="IB32" s="218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7"/>
      <c r="IO32" s="218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7"/>
      <c r="B33" s="218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0"/>
      <c r="O38" s="210"/>
      <c r="P38" s="289"/>
      <c r="Q38" s="289"/>
      <c r="R38" s="289"/>
      <c r="S38" s="289"/>
      <c r="T38" s="289"/>
      <c r="U38" s="289"/>
      <c r="V38" s="289"/>
      <c r="W38" s="289"/>
      <c r="X38" s="289"/>
      <c r="Y38" s="289"/>
      <c r="Z38" s="289"/>
      <c r="AA38" s="206"/>
      <c r="AB38" s="206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06"/>
      <c r="AO38" s="206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06"/>
      <c r="BB38" s="206"/>
      <c r="BC38" s="288"/>
      <c r="BD38" s="288"/>
      <c r="BE38" s="288"/>
      <c r="BF38" s="288"/>
      <c r="BG38" s="288"/>
      <c r="BH38" s="288"/>
      <c r="BI38" s="288"/>
      <c r="BJ38" s="288"/>
      <c r="BK38" s="288"/>
      <c r="BL38" s="288"/>
      <c r="BM38" s="288"/>
      <c r="BN38" s="206"/>
      <c r="BO38" s="206"/>
      <c r="BP38" s="288"/>
      <c r="BQ38" s="288"/>
      <c r="BR38" s="288"/>
      <c r="BS38" s="288"/>
      <c r="BT38" s="288"/>
      <c r="BU38" s="288"/>
      <c r="BV38" s="288"/>
      <c r="BW38" s="288"/>
      <c r="BX38" s="288"/>
      <c r="BY38" s="288"/>
      <c r="BZ38" s="288"/>
      <c r="CA38" s="206"/>
      <c r="CB38" s="206"/>
      <c r="CC38" s="288"/>
      <c r="CD38" s="288"/>
      <c r="CE38" s="288"/>
      <c r="CF38" s="288"/>
      <c r="CG38" s="288"/>
      <c r="CH38" s="288"/>
      <c r="CI38" s="288"/>
      <c r="CJ38" s="288"/>
      <c r="CK38" s="288"/>
      <c r="CL38" s="288"/>
      <c r="CM38" s="288"/>
      <c r="CN38" s="206"/>
      <c r="CO38" s="206"/>
      <c r="CP38" s="288"/>
      <c r="CQ38" s="288"/>
      <c r="CR38" s="288"/>
      <c r="CS38" s="288"/>
      <c r="CT38" s="288"/>
      <c r="CU38" s="288"/>
      <c r="CV38" s="288"/>
      <c r="CW38" s="288"/>
      <c r="CX38" s="288"/>
      <c r="CY38" s="288"/>
      <c r="CZ38" s="288"/>
      <c r="DA38" s="206"/>
      <c r="DB38" s="206"/>
      <c r="DC38" s="288"/>
      <c r="DD38" s="288"/>
      <c r="DE38" s="288"/>
      <c r="DF38" s="288"/>
      <c r="DG38" s="288"/>
      <c r="DH38" s="288"/>
      <c r="DI38" s="288"/>
      <c r="DJ38" s="288"/>
      <c r="DK38" s="288"/>
      <c r="DL38" s="288"/>
      <c r="DM38" s="288"/>
      <c r="DN38" s="206"/>
      <c r="DO38" s="206"/>
      <c r="DP38" s="288"/>
      <c r="DQ38" s="288"/>
      <c r="DR38" s="288"/>
      <c r="DS38" s="288"/>
      <c r="DT38" s="288"/>
      <c r="DU38" s="288"/>
      <c r="DV38" s="288"/>
      <c r="DW38" s="288"/>
      <c r="DX38" s="288"/>
      <c r="DY38" s="288"/>
      <c r="DZ38" s="288"/>
      <c r="EA38" s="206"/>
      <c r="EB38" s="206"/>
      <c r="EC38" s="288"/>
      <c r="ED38" s="288"/>
      <c r="EE38" s="288"/>
      <c r="EF38" s="288"/>
      <c r="EG38" s="288"/>
      <c r="EH38" s="288"/>
      <c r="EI38" s="288"/>
      <c r="EJ38" s="288"/>
      <c r="EK38" s="288"/>
      <c r="EL38" s="288"/>
      <c r="EM38" s="288"/>
      <c r="EN38" s="206"/>
      <c r="EO38" s="206"/>
      <c r="EP38" s="288"/>
      <c r="EQ38" s="288"/>
      <c r="ER38" s="288"/>
      <c r="ES38" s="288"/>
      <c r="ET38" s="288"/>
      <c r="EU38" s="288"/>
      <c r="EV38" s="288"/>
      <c r="EW38" s="288"/>
      <c r="EX38" s="288"/>
      <c r="EY38" s="288"/>
      <c r="EZ38" s="288"/>
      <c r="FA38" s="206"/>
      <c r="FB38" s="206"/>
      <c r="FC38" s="288"/>
      <c r="FD38" s="288"/>
      <c r="FE38" s="288"/>
      <c r="FF38" s="288"/>
      <c r="FG38" s="288"/>
      <c r="FH38" s="288"/>
      <c r="FI38" s="288"/>
      <c r="FJ38" s="288"/>
      <c r="FK38" s="288"/>
      <c r="FL38" s="288"/>
      <c r="FM38" s="288"/>
      <c r="FN38" s="206"/>
      <c r="FO38" s="206"/>
      <c r="FP38" s="288"/>
      <c r="FQ38" s="288"/>
      <c r="FR38" s="288"/>
      <c r="FS38" s="288"/>
      <c r="FT38" s="288"/>
      <c r="FU38" s="288"/>
      <c r="FV38" s="288"/>
      <c r="FW38" s="288"/>
      <c r="FX38" s="288"/>
      <c r="FY38" s="288"/>
      <c r="FZ38" s="288"/>
      <c r="GA38" s="206"/>
      <c r="GB38" s="206"/>
      <c r="GC38" s="288"/>
      <c r="GD38" s="288"/>
      <c r="GE38" s="288"/>
      <c r="GF38" s="288"/>
      <c r="GG38" s="288"/>
      <c r="GH38" s="288"/>
      <c r="GI38" s="288"/>
      <c r="GJ38" s="288"/>
      <c r="GK38" s="288"/>
      <c r="GL38" s="288"/>
      <c r="GM38" s="288"/>
      <c r="GN38" s="206"/>
      <c r="GO38" s="206"/>
      <c r="GP38" s="288"/>
      <c r="GQ38" s="288"/>
      <c r="GR38" s="288"/>
      <c r="GS38" s="288"/>
      <c r="GT38" s="288"/>
      <c r="GU38" s="288"/>
      <c r="GV38" s="288"/>
      <c r="GW38" s="288"/>
      <c r="GX38" s="288"/>
      <c r="GY38" s="288"/>
      <c r="GZ38" s="288"/>
      <c r="HA38" s="206"/>
      <c r="HB38" s="206"/>
      <c r="HC38" s="288"/>
      <c r="HD38" s="288"/>
      <c r="HE38" s="288"/>
      <c r="HF38" s="288"/>
      <c r="HG38" s="288"/>
      <c r="HH38" s="288"/>
      <c r="HI38" s="288"/>
      <c r="HJ38" s="288"/>
      <c r="HK38" s="288"/>
      <c r="HL38" s="288"/>
      <c r="HM38" s="288"/>
      <c r="HN38" s="206"/>
      <c r="HO38" s="206"/>
      <c r="HP38" s="288"/>
      <c r="HQ38" s="288"/>
      <c r="HR38" s="288"/>
      <c r="HS38" s="288"/>
      <c r="HT38" s="288"/>
      <c r="HU38" s="288"/>
      <c r="HV38" s="288"/>
      <c r="HW38" s="288"/>
      <c r="HX38" s="288"/>
      <c r="HY38" s="288"/>
      <c r="HZ38" s="288"/>
      <c r="IA38" s="206"/>
      <c r="IB38" s="206"/>
      <c r="IC38" s="288"/>
      <c r="ID38" s="288"/>
      <c r="IE38" s="288"/>
      <c r="IF38" s="288"/>
      <c r="IG38" s="288"/>
      <c r="IH38" s="288"/>
      <c r="II38" s="288"/>
      <c r="IJ38" s="288"/>
      <c r="IK38" s="288"/>
      <c r="IL38" s="288"/>
      <c r="IM38" s="288"/>
      <c r="IN38" s="206"/>
      <c r="IO38" s="206"/>
      <c r="IP38" s="288"/>
      <c r="IQ38" s="288"/>
      <c r="IR38" s="288"/>
      <c r="IS38" s="288"/>
      <c r="IT38" s="288"/>
      <c r="IU38" s="288"/>
      <c r="IV38" s="288"/>
    </row>
    <row r="39" spans="1:256" x14ac:dyDescent="0.2">
      <c r="A39" s="217"/>
      <c r="B39" s="218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0"/>
      <c r="O39" s="210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06"/>
      <c r="AB39" s="206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06"/>
      <c r="AO39" s="206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06"/>
      <c r="BB39" s="206"/>
      <c r="BC39" s="288"/>
      <c r="BD39" s="288"/>
      <c r="BE39" s="288"/>
      <c r="BF39" s="288"/>
      <c r="BG39" s="288"/>
      <c r="BH39" s="288"/>
      <c r="BI39" s="288"/>
      <c r="BJ39" s="288"/>
      <c r="BK39" s="288"/>
      <c r="BL39" s="288"/>
      <c r="BM39" s="288"/>
      <c r="BN39" s="206"/>
      <c r="BO39" s="206"/>
      <c r="BP39" s="288"/>
      <c r="BQ39" s="288"/>
      <c r="BR39" s="288"/>
      <c r="BS39" s="288"/>
      <c r="BT39" s="288"/>
      <c r="BU39" s="288"/>
      <c r="BV39" s="288"/>
      <c r="BW39" s="288"/>
      <c r="BX39" s="288"/>
      <c r="BY39" s="288"/>
      <c r="BZ39" s="288"/>
      <c r="CA39" s="206"/>
      <c r="CB39" s="206"/>
      <c r="CC39" s="288"/>
      <c r="CD39" s="288"/>
      <c r="CE39" s="288"/>
      <c r="CF39" s="288"/>
      <c r="CG39" s="288"/>
      <c r="CH39" s="288"/>
      <c r="CI39" s="288"/>
      <c r="CJ39" s="288"/>
      <c r="CK39" s="288"/>
      <c r="CL39" s="288"/>
      <c r="CM39" s="288"/>
      <c r="CN39" s="206"/>
      <c r="CO39" s="206"/>
      <c r="CP39" s="288"/>
      <c r="CQ39" s="288"/>
      <c r="CR39" s="288"/>
      <c r="CS39" s="288"/>
      <c r="CT39" s="288"/>
      <c r="CU39" s="288"/>
      <c r="CV39" s="288"/>
      <c r="CW39" s="288"/>
      <c r="CX39" s="288"/>
      <c r="CY39" s="288"/>
      <c r="CZ39" s="288"/>
      <c r="DA39" s="206"/>
      <c r="DB39" s="206"/>
      <c r="DC39" s="288"/>
      <c r="DD39" s="288"/>
      <c r="DE39" s="288"/>
      <c r="DF39" s="288"/>
      <c r="DG39" s="288"/>
      <c r="DH39" s="288"/>
      <c r="DI39" s="288"/>
      <c r="DJ39" s="288"/>
      <c r="DK39" s="288"/>
      <c r="DL39" s="288"/>
      <c r="DM39" s="288"/>
      <c r="DN39" s="206"/>
      <c r="DO39" s="206"/>
      <c r="DP39" s="288"/>
      <c r="DQ39" s="288"/>
      <c r="DR39" s="288"/>
      <c r="DS39" s="288"/>
      <c r="DT39" s="288"/>
      <c r="DU39" s="288"/>
      <c r="DV39" s="288"/>
      <c r="DW39" s="288"/>
      <c r="DX39" s="288"/>
      <c r="DY39" s="288"/>
      <c r="DZ39" s="288"/>
      <c r="EA39" s="206"/>
      <c r="EB39" s="206"/>
      <c r="EC39" s="288"/>
      <c r="ED39" s="288"/>
      <c r="EE39" s="288"/>
      <c r="EF39" s="288"/>
      <c r="EG39" s="288"/>
      <c r="EH39" s="288"/>
      <c r="EI39" s="288"/>
      <c r="EJ39" s="288"/>
      <c r="EK39" s="288"/>
      <c r="EL39" s="288"/>
      <c r="EM39" s="288"/>
      <c r="EN39" s="206"/>
      <c r="EO39" s="206"/>
      <c r="EP39" s="288"/>
      <c r="EQ39" s="288"/>
      <c r="ER39" s="288"/>
      <c r="ES39" s="288"/>
      <c r="ET39" s="288"/>
      <c r="EU39" s="288"/>
      <c r="EV39" s="288"/>
      <c r="EW39" s="288"/>
      <c r="EX39" s="288"/>
      <c r="EY39" s="288"/>
      <c r="EZ39" s="288"/>
      <c r="FA39" s="206"/>
      <c r="FB39" s="206"/>
      <c r="FC39" s="288"/>
      <c r="FD39" s="288"/>
      <c r="FE39" s="288"/>
      <c r="FF39" s="288"/>
      <c r="FG39" s="288"/>
      <c r="FH39" s="288"/>
      <c r="FI39" s="288"/>
      <c r="FJ39" s="288"/>
      <c r="FK39" s="288"/>
      <c r="FL39" s="288"/>
      <c r="FM39" s="288"/>
      <c r="FN39" s="206"/>
      <c r="FO39" s="206"/>
      <c r="FP39" s="288"/>
      <c r="FQ39" s="288"/>
      <c r="FR39" s="288"/>
      <c r="FS39" s="288"/>
      <c r="FT39" s="288"/>
      <c r="FU39" s="288"/>
      <c r="FV39" s="288"/>
      <c r="FW39" s="288"/>
      <c r="FX39" s="288"/>
      <c r="FY39" s="288"/>
      <c r="FZ39" s="288"/>
      <c r="GA39" s="206"/>
      <c r="GB39" s="206"/>
      <c r="GC39" s="288"/>
      <c r="GD39" s="288"/>
      <c r="GE39" s="288"/>
      <c r="GF39" s="288"/>
      <c r="GG39" s="288"/>
      <c r="GH39" s="288"/>
      <c r="GI39" s="288"/>
      <c r="GJ39" s="288"/>
      <c r="GK39" s="288"/>
      <c r="GL39" s="288"/>
      <c r="GM39" s="288"/>
      <c r="GN39" s="206"/>
      <c r="GO39" s="206"/>
      <c r="GP39" s="288"/>
      <c r="GQ39" s="288"/>
      <c r="GR39" s="288"/>
      <c r="GS39" s="288"/>
      <c r="GT39" s="288"/>
      <c r="GU39" s="288"/>
      <c r="GV39" s="288"/>
      <c r="GW39" s="288"/>
      <c r="GX39" s="288"/>
      <c r="GY39" s="288"/>
      <c r="GZ39" s="288"/>
      <c r="HA39" s="206"/>
      <c r="HB39" s="206"/>
      <c r="HC39" s="288"/>
      <c r="HD39" s="288"/>
      <c r="HE39" s="288"/>
      <c r="HF39" s="288"/>
      <c r="HG39" s="288"/>
      <c r="HH39" s="288"/>
      <c r="HI39" s="288"/>
      <c r="HJ39" s="288"/>
      <c r="HK39" s="288"/>
      <c r="HL39" s="288"/>
      <c r="HM39" s="288"/>
      <c r="HN39" s="206"/>
      <c r="HO39" s="206"/>
      <c r="HP39" s="288"/>
      <c r="HQ39" s="288"/>
      <c r="HR39" s="288"/>
      <c r="HS39" s="288"/>
      <c r="HT39" s="288"/>
      <c r="HU39" s="288"/>
      <c r="HV39" s="288"/>
      <c r="HW39" s="288"/>
      <c r="HX39" s="288"/>
      <c r="HY39" s="288"/>
      <c r="HZ39" s="288"/>
      <c r="IA39" s="206"/>
      <c r="IB39" s="206"/>
      <c r="IC39" s="288"/>
      <c r="ID39" s="288"/>
      <c r="IE39" s="288"/>
      <c r="IF39" s="288"/>
      <c r="IG39" s="288"/>
      <c r="IH39" s="288"/>
      <c r="II39" s="288"/>
      <c r="IJ39" s="288"/>
      <c r="IK39" s="288"/>
      <c r="IL39" s="288"/>
      <c r="IM39" s="288"/>
      <c r="IN39" s="206"/>
      <c r="IO39" s="206"/>
      <c r="IP39" s="288"/>
      <c r="IQ39" s="288"/>
      <c r="IR39" s="288"/>
      <c r="IS39" s="288"/>
      <c r="IT39" s="288"/>
      <c r="IU39" s="288"/>
      <c r="IV39" s="288"/>
    </row>
    <row r="40" spans="1:256" x14ac:dyDescent="0.2">
      <c r="A40" s="217"/>
      <c r="B40" s="218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0"/>
      <c r="O40" s="210"/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06"/>
      <c r="AB40" s="206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06"/>
      <c r="AO40" s="206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06"/>
      <c r="BB40" s="206"/>
      <c r="BC40" s="288"/>
      <c r="BD40" s="288"/>
      <c r="BE40" s="288"/>
      <c r="BF40" s="288"/>
      <c r="BG40" s="288"/>
      <c r="BH40" s="288"/>
      <c r="BI40" s="288"/>
      <c r="BJ40" s="288"/>
      <c r="BK40" s="288"/>
      <c r="BL40" s="288"/>
      <c r="BM40" s="288"/>
      <c r="BN40" s="206"/>
      <c r="BO40" s="206"/>
      <c r="BP40" s="288"/>
      <c r="BQ40" s="288"/>
      <c r="BR40" s="288"/>
      <c r="BS40" s="288"/>
      <c r="BT40" s="288"/>
      <c r="BU40" s="288"/>
      <c r="BV40" s="288"/>
      <c r="BW40" s="288"/>
      <c r="BX40" s="288"/>
      <c r="BY40" s="288"/>
      <c r="BZ40" s="288"/>
      <c r="CA40" s="206"/>
      <c r="CB40" s="206"/>
      <c r="CC40" s="288"/>
      <c r="CD40" s="288"/>
      <c r="CE40" s="288"/>
      <c r="CF40" s="288"/>
      <c r="CG40" s="288"/>
      <c r="CH40" s="288"/>
      <c r="CI40" s="288"/>
      <c r="CJ40" s="288"/>
      <c r="CK40" s="288"/>
      <c r="CL40" s="288"/>
      <c r="CM40" s="288"/>
      <c r="CN40" s="206"/>
      <c r="CO40" s="206"/>
      <c r="CP40" s="288"/>
      <c r="CQ40" s="288"/>
      <c r="CR40" s="288"/>
      <c r="CS40" s="288"/>
      <c r="CT40" s="288"/>
      <c r="CU40" s="288"/>
      <c r="CV40" s="288"/>
      <c r="CW40" s="288"/>
      <c r="CX40" s="288"/>
      <c r="CY40" s="288"/>
      <c r="CZ40" s="288"/>
      <c r="DA40" s="206"/>
      <c r="DB40" s="206"/>
      <c r="DC40" s="288"/>
      <c r="DD40" s="288"/>
      <c r="DE40" s="288"/>
      <c r="DF40" s="288"/>
      <c r="DG40" s="288"/>
      <c r="DH40" s="288"/>
      <c r="DI40" s="288"/>
      <c r="DJ40" s="288"/>
      <c r="DK40" s="288"/>
      <c r="DL40" s="288"/>
      <c r="DM40" s="288"/>
      <c r="DN40" s="206"/>
      <c r="DO40" s="206"/>
      <c r="DP40" s="288"/>
      <c r="DQ40" s="288"/>
      <c r="DR40" s="288"/>
      <c r="DS40" s="288"/>
      <c r="DT40" s="288"/>
      <c r="DU40" s="288"/>
      <c r="DV40" s="288"/>
      <c r="DW40" s="288"/>
      <c r="DX40" s="288"/>
      <c r="DY40" s="288"/>
      <c r="DZ40" s="288"/>
      <c r="EA40" s="206"/>
      <c r="EB40" s="206"/>
      <c r="EC40" s="288"/>
      <c r="ED40" s="288"/>
      <c r="EE40" s="288"/>
      <c r="EF40" s="288"/>
      <c r="EG40" s="288"/>
      <c r="EH40" s="288"/>
      <c r="EI40" s="288"/>
      <c r="EJ40" s="288"/>
      <c r="EK40" s="288"/>
      <c r="EL40" s="288"/>
      <c r="EM40" s="288"/>
      <c r="EN40" s="206"/>
      <c r="EO40" s="206"/>
      <c r="EP40" s="288"/>
      <c r="EQ40" s="288"/>
      <c r="ER40" s="288"/>
      <c r="ES40" s="288"/>
      <c r="ET40" s="288"/>
      <c r="EU40" s="288"/>
      <c r="EV40" s="288"/>
      <c r="EW40" s="288"/>
      <c r="EX40" s="288"/>
      <c r="EY40" s="288"/>
      <c r="EZ40" s="288"/>
      <c r="FA40" s="206"/>
      <c r="FB40" s="206"/>
      <c r="FC40" s="288"/>
      <c r="FD40" s="288"/>
      <c r="FE40" s="288"/>
      <c r="FF40" s="288"/>
      <c r="FG40" s="288"/>
      <c r="FH40" s="288"/>
      <c r="FI40" s="288"/>
      <c r="FJ40" s="288"/>
      <c r="FK40" s="288"/>
      <c r="FL40" s="288"/>
      <c r="FM40" s="288"/>
      <c r="FN40" s="206"/>
      <c r="FO40" s="206"/>
      <c r="FP40" s="288"/>
      <c r="FQ40" s="288"/>
      <c r="FR40" s="288"/>
      <c r="FS40" s="288"/>
      <c r="FT40" s="288"/>
      <c r="FU40" s="288"/>
      <c r="FV40" s="288"/>
      <c r="FW40" s="288"/>
      <c r="FX40" s="288"/>
      <c r="FY40" s="288"/>
      <c r="FZ40" s="288"/>
      <c r="GA40" s="206"/>
      <c r="GB40" s="206"/>
      <c r="GC40" s="288"/>
      <c r="GD40" s="288"/>
      <c r="GE40" s="288"/>
      <c r="GF40" s="288"/>
      <c r="GG40" s="288"/>
      <c r="GH40" s="288"/>
      <c r="GI40" s="288"/>
      <c r="GJ40" s="288"/>
      <c r="GK40" s="288"/>
      <c r="GL40" s="288"/>
      <c r="GM40" s="288"/>
      <c r="GN40" s="206"/>
      <c r="GO40" s="206"/>
      <c r="GP40" s="288"/>
      <c r="GQ40" s="288"/>
      <c r="GR40" s="288"/>
      <c r="GS40" s="288"/>
      <c r="GT40" s="288"/>
      <c r="GU40" s="288"/>
      <c r="GV40" s="288"/>
      <c r="GW40" s="288"/>
      <c r="GX40" s="288"/>
      <c r="GY40" s="288"/>
      <c r="GZ40" s="288"/>
      <c r="HA40" s="206"/>
      <c r="HB40" s="206"/>
      <c r="HC40" s="288"/>
      <c r="HD40" s="288"/>
      <c r="HE40" s="288"/>
      <c r="HF40" s="288"/>
      <c r="HG40" s="288"/>
      <c r="HH40" s="288"/>
      <c r="HI40" s="288"/>
      <c r="HJ40" s="288"/>
      <c r="HK40" s="288"/>
      <c r="HL40" s="288"/>
      <c r="HM40" s="288"/>
      <c r="HN40" s="206"/>
      <c r="HO40" s="206"/>
      <c r="HP40" s="288"/>
      <c r="HQ40" s="288"/>
      <c r="HR40" s="288"/>
      <c r="HS40" s="288"/>
      <c r="HT40" s="288"/>
      <c r="HU40" s="288"/>
      <c r="HV40" s="288"/>
      <c r="HW40" s="288"/>
      <c r="HX40" s="288"/>
      <c r="HY40" s="288"/>
      <c r="HZ40" s="288"/>
      <c r="IA40" s="206"/>
      <c r="IB40" s="206"/>
      <c r="IC40" s="288"/>
      <c r="ID40" s="288"/>
      <c r="IE40" s="288"/>
      <c r="IF40" s="288"/>
      <c r="IG40" s="288"/>
      <c r="IH40" s="288"/>
      <c r="II40" s="288"/>
      <c r="IJ40" s="288"/>
      <c r="IK40" s="288"/>
      <c r="IL40" s="288"/>
      <c r="IM40" s="288"/>
      <c r="IN40" s="206"/>
      <c r="IO40" s="206"/>
      <c r="IP40" s="288"/>
      <c r="IQ40" s="288"/>
      <c r="IR40" s="288"/>
      <c r="IS40" s="288"/>
      <c r="IT40" s="288"/>
      <c r="IU40" s="288"/>
      <c r="IV40" s="288"/>
    </row>
    <row r="41" spans="1:256" x14ac:dyDescent="0.2">
      <c r="A41" s="217"/>
      <c r="B41" s="218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7"/>
      <c r="B60" s="218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7"/>
      <c r="B61" s="218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7"/>
      <c r="B62" s="218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7"/>
      <c r="B63" s="218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7"/>
      <c r="B64" s="218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7"/>
      <c r="B65" s="218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7"/>
      <c r="B66" s="218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7"/>
      <c r="B67" s="218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7"/>
      <c r="B68" s="218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7"/>
      <c r="B69" s="218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19"/>
      <c r="B70" s="220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87" t="s">
        <v>848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0"/>
      <c r="B74" s="210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0"/>
      <c r="B75" s="210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0"/>
      <c r="B76" s="210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0"/>
      <c r="B77" s="210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0"/>
      <c r="B78" s="210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0"/>
      <c r="B79" s="210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0"/>
      <c r="B80" s="210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0"/>
      <c r="B81" s="210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0"/>
      <c r="B82" s="210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0"/>
      <c r="B83" s="210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0"/>
      <c r="B84" s="210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0"/>
      <c r="B85" s="210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0"/>
      <c r="B86" s="210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0"/>
      <c r="B87" s="210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0"/>
      <c r="B88" s="210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0"/>
      <c r="B89" s="210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0"/>
      <c r="B90" s="210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2013-09-17T14:11:17Z</cp:lastPrinted>
  <dcterms:created xsi:type="dcterms:W3CDTF">1997-12-04T19:04:30Z</dcterms:created>
  <dcterms:modified xsi:type="dcterms:W3CDTF">2013-12-05T18:52:06Z</dcterms:modified>
</cp:coreProperties>
</file>