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3165" yWindow="255" windowWidth="15465" windowHeight="139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47" i="1" l="1"/>
  <c r="H10" i="1"/>
  <c r="I498" i="1"/>
  <c r="H498" i="1"/>
  <c r="G498" i="1"/>
  <c r="H497" i="1"/>
  <c r="G497" i="1"/>
  <c r="I497" i="1"/>
  <c r="I499" i="1" s="1"/>
  <c r="I494" i="1"/>
  <c r="H494" i="1"/>
  <c r="D155" i="2" s="1"/>
  <c r="G494" i="1"/>
  <c r="H314" i="1"/>
  <c r="L314" i="1" s="1"/>
  <c r="J206" i="1"/>
  <c r="F14" i="13" s="1"/>
  <c r="F206" i="1"/>
  <c r="F210" i="1" s="1"/>
  <c r="H201" i="1"/>
  <c r="H207" i="1"/>
  <c r="L207" i="1" s="1"/>
  <c r="F275" i="1"/>
  <c r="K594" i="1"/>
  <c r="H322" i="1"/>
  <c r="H318" i="1"/>
  <c r="H319" i="1"/>
  <c r="H50" i="1"/>
  <c r="H154" i="1"/>
  <c r="H161" i="1"/>
  <c r="H153" i="1"/>
  <c r="H158" i="1"/>
  <c r="E46" i="2"/>
  <c r="J467" i="1"/>
  <c r="H630" i="1"/>
  <c r="J464" i="1"/>
  <c r="F464" i="1"/>
  <c r="F132" i="1"/>
  <c r="F135" i="1"/>
  <c r="F77" i="1"/>
  <c r="F78" i="1"/>
  <c r="F167" i="1"/>
  <c r="C88" i="2"/>
  <c r="F47" i="1"/>
  <c r="C37" i="10"/>
  <c r="F40" i="2"/>
  <c r="D39" i="2"/>
  <c r="G654" i="1"/>
  <c r="F47" i="2"/>
  <c r="E47" i="2"/>
  <c r="D47" i="2"/>
  <c r="C47" i="2"/>
  <c r="F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 s="1"/>
  <c r="I457" i="1"/>
  <c r="J39" i="1" s="1"/>
  <c r="G38" i="2"/>
  <c r="C67" i="2"/>
  <c r="B2" i="13"/>
  <c r="F8" i="13"/>
  <c r="G8" i="13"/>
  <c r="L203" i="1"/>
  <c r="L221" i="1"/>
  <c r="L239" i="1"/>
  <c r="D39" i="13"/>
  <c r="F13" i="13"/>
  <c r="G13" i="13"/>
  <c r="L205" i="1"/>
  <c r="C19" i="10" s="1"/>
  <c r="L223" i="1"/>
  <c r="L241" i="1"/>
  <c r="F16" i="13"/>
  <c r="G16" i="13"/>
  <c r="L208" i="1"/>
  <c r="L226" i="1"/>
  <c r="C124" i="2" s="1"/>
  <c r="L244" i="1"/>
  <c r="F5" i="13"/>
  <c r="G5" i="13"/>
  <c r="L196" i="1"/>
  <c r="L197" i="1"/>
  <c r="C109" i="2"/>
  <c r="L198" i="1"/>
  <c r="L199" i="1"/>
  <c r="C111" i="2" s="1"/>
  <c r="L214" i="1"/>
  <c r="L215" i="1"/>
  <c r="L216" i="1"/>
  <c r="L228" i="1" s="1"/>
  <c r="G659" i="1" s="1"/>
  <c r="L217" i="1"/>
  <c r="L232" i="1"/>
  <c r="L233" i="1"/>
  <c r="L234" i="1"/>
  <c r="L235" i="1"/>
  <c r="F6" i="13"/>
  <c r="G6" i="13"/>
  <c r="L201" i="1"/>
  <c r="D6" i="13" s="1"/>
  <c r="C6" i="13" s="1"/>
  <c r="L219" i="1"/>
  <c r="L237" i="1"/>
  <c r="F7" i="13"/>
  <c r="G7" i="13"/>
  <c r="L202" i="1"/>
  <c r="L220" i="1"/>
  <c r="D7" i="13" s="1"/>
  <c r="C7" i="13" s="1"/>
  <c r="L238" i="1"/>
  <c r="F12" i="13"/>
  <c r="G12" i="13"/>
  <c r="L204" i="1"/>
  <c r="D12" i="13" s="1"/>
  <c r="L222" i="1"/>
  <c r="L240" i="1"/>
  <c r="G14" i="13"/>
  <c r="L206" i="1"/>
  <c r="L224" i="1"/>
  <c r="L242" i="1"/>
  <c r="F15" i="13"/>
  <c r="G15" i="13"/>
  <c r="L225" i="1"/>
  <c r="G649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F660" i="1" s="1"/>
  <c r="L359" i="1"/>
  <c r="I366" i="1"/>
  <c r="J289" i="1"/>
  <c r="J308" i="1"/>
  <c r="J327" i="1"/>
  <c r="K289" i="1"/>
  <c r="K308" i="1"/>
  <c r="K327" i="1"/>
  <c r="L276" i="1"/>
  <c r="L277" i="1"/>
  <c r="L278" i="1"/>
  <c r="E111" i="2" s="1"/>
  <c r="L280" i="1"/>
  <c r="L281" i="1"/>
  <c r="E118" i="2" s="1"/>
  <c r="L282" i="1"/>
  <c r="L283" i="1"/>
  <c r="E120" i="2" s="1"/>
  <c r="L284" i="1"/>
  <c r="L285" i="1"/>
  <c r="L286" i="1"/>
  <c r="L287" i="1"/>
  <c r="E124" i="2" s="1"/>
  <c r="L294" i="1"/>
  <c r="L295" i="1"/>
  <c r="L308" i="1" s="1"/>
  <c r="L296" i="1"/>
  <c r="L297" i="1"/>
  <c r="L299" i="1"/>
  <c r="L300" i="1"/>
  <c r="L301" i="1"/>
  <c r="L302" i="1"/>
  <c r="L303" i="1"/>
  <c r="L304" i="1"/>
  <c r="L305" i="1"/>
  <c r="L306" i="1"/>
  <c r="L313" i="1"/>
  <c r="L315" i="1"/>
  <c r="L316" i="1"/>
  <c r="L319" i="1"/>
  <c r="L320" i="1"/>
  <c r="L321" i="1"/>
  <c r="L322" i="1"/>
  <c r="L323" i="1"/>
  <c r="L324" i="1"/>
  <c r="H661" i="1" s="1"/>
  <c r="L325" i="1"/>
  <c r="L332" i="1"/>
  <c r="L333" i="1"/>
  <c r="L334" i="1"/>
  <c r="E113" i="2" s="1"/>
  <c r="L259" i="1"/>
  <c r="L260" i="1"/>
  <c r="C131" i="2" s="1"/>
  <c r="L340" i="1"/>
  <c r="E130" i="2"/>
  <c r="L341" i="1"/>
  <c r="L254" i="1"/>
  <c r="C129" i="2" s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A31" i="12" s="1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6" i="1" s="1"/>
  <c r="L403" i="1"/>
  <c r="L404" i="1"/>
  <c r="L405" i="1"/>
  <c r="L265" i="1"/>
  <c r="J59" i="1"/>
  <c r="G55" i="2" s="1"/>
  <c r="G58" i="2"/>
  <c r="G61" i="2" s="1"/>
  <c r="G62" i="2" s="1"/>
  <c r="G60" i="2"/>
  <c r="F2" i="11"/>
  <c r="L612" i="1"/>
  <c r="H662" i="1"/>
  <c r="L611" i="1"/>
  <c r="L610" i="1"/>
  <c r="F662" i="1" s="1"/>
  <c r="C40" i="10"/>
  <c r="F59" i="1"/>
  <c r="G59" i="1"/>
  <c r="D55" i="2" s="1"/>
  <c r="H59" i="1"/>
  <c r="I59" i="1"/>
  <c r="F93" i="1"/>
  <c r="F110" i="1"/>
  <c r="F111" i="1" s="1"/>
  <c r="G110" i="1"/>
  <c r="G111" i="1"/>
  <c r="H78" i="1"/>
  <c r="E56" i="2"/>
  <c r="E61" i="2" s="1"/>
  <c r="H93" i="1"/>
  <c r="H110" i="1"/>
  <c r="H111" i="1" s="1"/>
  <c r="I110" i="1"/>
  <c r="J110" i="1"/>
  <c r="J111" i="1"/>
  <c r="F120" i="1"/>
  <c r="G120" i="1"/>
  <c r="G135" i="1"/>
  <c r="G139" i="1" s="1"/>
  <c r="H120" i="1"/>
  <c r="H135" i="1"/>
  <c r="I120" i="1"/>
  <c r="I135" i="1"/>
  <c r="I139" i="1" s="1"/>
  <c r="J120" i="1"/>
  <c r="J135" i="1"/>
  <c r="J139" i="1"/>
  <c r="F146" i="1"/>
  <c r="F161" i="1"/>
  <c r="F168" i="1" s="1"/>
  <c r="G146" i="1"/>
  <c r="G161" i="1"/>
  <c r="H146" i="1"/>
  <c r="I146" i="1"/>
  <c r="I161" i="1"/>
  <c r="C13" i="10"/>
  <c r="L249" i="1"/>
  <c r="C112" i="2"/>
  <c r="L331" i="1"/>
  <c r="L253" i="1"/>
  <c r="L267" i="1"/>
  <c r="C141" i="2"/>
  <c r="L268" i="1"/>
  <c r="L348" i="1"/>
  <c r="E141" i="2" s="1"/>
  <c r="L349" i="1"/>
  <c r="I664" i="1"/>
  <c r="I669" i="1"/>
  <c r="G661" i="1"/>
  <c r="I668" i="1"/>
  <c r="C42" i="10"/>
  <c r="L373" i="1"/>
  <c r="L374" i="1"/>
  <c r="L375" i="1"/>
  <c r="L376" i="1"/>
  <c r="L377" i="1"/>
  <c r="L378" i="1"/>
  <c r="L379" i="1"/>
  <c r="B2" i="10"/>
  <c r="L343" i="1"/>
  <c r="E133" i="2" s="1"/>
  <c r="L344" i="1"/>
  <c r="L345" i="1"/>
  <c r="E136" i="2"/>
  <c r="L346" i="1"/>
  <c r="K350" i="1"/>
  <c r="L520" i="1"/>
  <c r="F548" i="1"/>
  <c r="L521" i="1"/>
  <c r="F549" i="1"/>
  <c r="L522" i="1"/>
  <c r="F550" i="1"/>
  <c r="L525" i="1"/>
  <c r="G548" i="1" s="1"/>
  <c r="L526" i="1"/>
  <c r="G549" i="1" s="1"/>
  <c r="L527" i="1"/>
  <c r="G550" i="1" s="1"/>
  <c r="L530" i="1"/>
  <c r="H548" i="1"/>
  <c r="L531" i="1"/>
  <c r="H549" i="1"/>
  <c r="L532" i="1"/>
  <c r="H550" i="1"/>
  <c r="L535" i="1"/>
  <c r="L536" i="1"/>
  <c r="I549" i="1" s="1"/>
  <c r="L537" i="1"/>
  <c r="I550" i="1" s="1"/>
  <c r="L540" i="1"/>
  <c r="J548" i="1" s="1"/>
  <c r="L541" i="1"/>
  <c r="J549" i="1" s="1"/>
  <c r="L542" i="1"/>
  <c r="E131" i="2"/>
  <c r="K269" i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/>
  <c r="C12" i="2"/>
  <c r="D12" i="2"/>
  <c r="E12" i="2"/>
  <c r="F12" i="2"/>
  <c r="F18" i="2" s="1"/>
  <c r="I441" i="1"/>
  <c r="J13" i="1"/>
  <c r="G12" i="2" s="1"/>
  <c r="C13" i="2"/>
  <c r="D13" i="2"/>
  <c r="E13" i="2"/>
  <c r="F13" i="2"/>
  <c r="I442" i="1"/>
  <c r="J14" i="1" s="1"/>
  <c r="G13" i="2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/>
  <c r="C21" i="2"/>
  <c r="D21" i="2"/>
  <c r="D31" i="2" s="1"/>
  <c r="E21" i="2"/>
  <c r="F21" i="2"/>
  <c r="I447" i="1"/>
  <c r="J22" i="1"/>
  <c r="C22" i="2"/>
  <c r="D22" i="2"/>
  <c r="E22" i="2"/>
  <c r="F22" i="2"/>
  <c r="F31" i="2" s="1"/>
  <c r="I448" i="1"/>
  <c r="C23" i="2"/>
  <c r="D23" i="2"/>
  <c r="E23" i="2"/>
  <c r="E31" i="2" s="1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C49" i="2" s="1"/>
  <c r="D34" i="2"/>
  <c r="D49" i="2" s="1"/>
  <c r="D50" i="2" s="1"/>
  <c r="E34" i="2"/>
  <c r="F34" i="2"/>
  <c r="C35" i="2"/>
  <c r="D35" i="2"/>
  <c r="E35" i="2"/>
  <c r="F35" i="2"/>
  <c r="I453" i="1"/>
  <c r="I455" i="1"/>
  <c r="I456" i="1"/>
  <c r="J37" i="1" s="1"/>
  <c r="I458" i="1"/>
  <c r="J47" i="1"/>
  <c r="G46" i="2" s="1"/>
  <c r="C48" i="2"/>
  <c r="C57" i="2"/>
  <c r="E57" i="2"/>
  <c r="C58" i="2"/>
  <c r="D58" i="2"/>
  <c r="E58" i="2"/>
  <c r="F58" i="2"/>
  <c r="F61" i="2"/>
  <c r="D59" i="2"/>
  <c r="C60" i="2"/>
  <c r="D60" i="2"/>
  <c r="E60" i="2"/>
  <c r="F60" i="2"/>
  <c r="C65" i="2"/>
  <c r="C66" i="2"/>
  <c r="C69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E77" i="2"/>
  <c r="F75" i="2"/>
  <c r="F77" i="2" s="1"/>
  <c r="F80" i="2" s="1"/>
  <c r="D76" i="2"/>
  <c r="D77" i="2"/>
  <c r="E76" i="2"/>
  <c r="F76" i="2"/>
  <c r="G76" i="2"/>
  <c r="G77" i="2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F87" i="2"/>
  <c r="D88" i="2"/>
  <c r="E88" i="2"/>
  <c r="F88" i="2"/>
  <c r="F90" i="2" s="1"/>
  <c r="C89" i="2"/>
  <c r="C92" i="2"/>
  <c r="F92" i="2"/>
  <c r="C93" i="2"/>
  <c r="F93" i="2"/>
  <c r="D95" i="2"/>
  <c r="D102" i="2" s="1"/>
  <c r="E95" i="2"/>
  <c r="F95" i="2"/>
  <c r="G95" i="2"/>
  <c r="C96" i="2"/>
  <c r="D96" i="2"/>
  <c r="E96" i="2"/>
  <c r="F96" i="2"/>
  <c r="F102" i="2" s="1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0" i="2"/>
  <c r="E112" i="2"/>
  <c r="D114" i="2"/>
  <c r="F114" i="2"/>
  <c r="G114" i="2"/>
  <c r="E122" i="2"/>
  <c r="F127" i="2"/>
  <c r="G127" i="2"/>
  <c r="F133" i="2"/>
  <c r="D133" i="2"/>
  <c r="D143" i="2" s="1"/>
  <c r="K418" i="1"/>
  <c r="K426" i="1"/>
  <c r="K432" i="1"/>
  <c r="L262" i="1"/>
  <c r="C134" i="2" s="1"/>
  <c r="E134" i="2"/>
  <c r="L263" i="1"/>
  <c r="C135" i="2"/>
  <c r="L264" i="1"/>
  <c r="C136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G155" i="2" s="1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E158" i="2"/>
  <c r="F158" i="2"/>
  <c r="B159" i="2"/>
  <c r="G159" i="2" s="1"/>
  <c r="C159" i="2"/>
  <c r="D159" i="2"/>
  <c r="E159" i="2"/>
  <c r="F159" i="2"/>
  <c r="F499" i="1"/>
  <c r="B160" i="2"/>
  <c r="G499" i="1"/>
  <c r="C160" i="2"/>
  <c r="E160" i="2"/>
  <c r="J499" i="1"/>
  <c r="F160" i="2"/>
  <c r="B161" i="2"/>
  <c r="C161" i="2"/>
  <c r="G161" i="2" s="1"/>
  <c r="D161" i="2"/>
  <c r="E161" i="2"/>
  <c r="F161" i="2"/>
  <c r="B162" i="2"/>
  <c r="C162" i="2"/>
  <c r="D162" i="2"/>
  <c r="E162" i="2"/>
  <c r="F162" i="2"/>
  <c r="F502" i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/>
  <c r="F32" i="1"/>
  <c r="G32" i="1"/>
  <c r="H32" i="1"/>
  <c r="I32" i="1"/>
  <c r="I51" i="1" s="1"/>
  <c r="F50" i="1"/>
  <c r="G50" i="1"/>
  <c r="I50" i="1"/>
  <c r="F176" i="1"/>
  <c r="I176" i="1"/>
  <c r="F182" i="1"/>
  <c r="G182" i="1"/>
  <c r="H182" i="1"/>
  <c r="H191" i="1" s="1"/>
  <c r="I182" i="1"/>
  <c r="J182" i="1"/>
  <c r="F187" i="1"/>
  <c r="G187" i="1"/>
  <c r="H187" i="1"/>
  <c r="I187" i="1"/>
  <c r="I191" i="1" s="1"/>
  <c r="G210" i="1"/>
  <c r="G256" i="1" s="1"/>
  <c r="I210" i="1"/>
  <c r="J210" i="1"/>
  <c r="K210" i="1"/>
  <c r="F228" i="1"/>
  <c r="G228" i="1"/>
  <c r="H228" i="1"/>
  <c r="I228" i="1"/>
  <c r="J228" i="1"/>
  <c r="J256" i="1" s="1"/>
  <c r="K228" i="1"/>
  <c r="F246" i="1"/>
  <c r="G246" i="1"/>
  <c r="H246" i="1"/>
  <c r="I246" i="1"/>
  <c r="I256" i="1"/>
  <c r="I270" i="1" s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I327" i="1"/>
  <c r="F336" i="1"/>
  <c r="G336" i="1"/>
  <c r="G337" i="1" s="1"/>
  <c r="H336" i="1"/>
  <c r="I336" i="1"/>
  <c r="J336" i="1"/>
  <c r="J337" i="1"/>
  <c r="J351" i="1" s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I407" i="1" s="1"/>
  <c r="F400" i="1"/>
  <c r="G400" i="1"/>
  <c r="H400" i="1"/>
  <c r="H407" i="1" s="1"/>
  <c r="H643" i="1" s="1"/>
  <c r="I400" i="1"/>
  <c r="F406" i="1"/>
  <c r="G406" i="1"/>
  <c r="H406" i="1"/>
  <c r="I406" i="1"/>
  <c r="F407" i="1"/>
  <c r="H642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H433" i="1"/>
  <c r="I426" i="1"/>
  <c r="J426" i="1"/>
  <c r="L428" i="1"/>
  <c r="L429" i="1"/>
  <c r="L430" i="1"/>
  <c r="L431" i="1"/>
  <c r="L432" i="1" s="1"/>
  <c r="F432" i="1"/>
  <c r="G432" i="1"/>
  <c r="H432" i="1"/>
  <c r="I432" i="1"/>
  <c r="J432" i="1"/>
  <c r="F445" i="1"/>
  <c r="G638" i="1" s="1"/>
  <c r="G445" i="1"/>
  <c r="G639" i="1" s="1"/>
  <c r="H445" i="1"/>
  <c r="G640" i="1" s="1"/>
  <c r="F451" i="1"/>
  <c r="G451" i="1"/>
  <c r="H451" i="1"/>
  <c r="H460" i="1"/>
  <c r="F459" i="1"/>
  <c r="F460" i="1"/>
  <c r="H638" i="1" s="1"/>
  <c r="G459" i="1"/>
  <c r="H459" i="1"/>
  <c r="F469" i="1"/>
  <c r="G469" i="1"/>
  <c r="H469" i="1"/>
  <c r="H475" i="1" s="1"/>
  <c r="I469" i="1"/>
  <c r="F473" i="1"/>
  <c r="G473" i="1"/>
  <c r="G475" i="1"/>
  <c r="H622" i="1" s="1"/>
  <c r="H473" i="1"/>
  <c r="I473" i="1"/>
  <c r="I475" i="1" s="1"/>
  <c r="H624" i="1" s="1"/>
  <c r="J624" i="1" s="1"/>
  <c r="J473" i="1"/>
  <c r="K494" i="1"/>
  <c r="K495" i="1"/>
  <c r="K496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J544" i="1" s="1"/>
  <c r="K543" i="1"/>
  <c r="L556" i="1"/>
  <c r="L559" i="1" s="1"/>
  <c r="L557" i="1"/>
  <c r="L558" i="1"/>
  <c r="F559" i="1"/>
  <c r="G559" i="1"/>
  <c r="H559" i="1"/>
  <c r="I559" i="1"/>
  <c r="J559" i="1"/>
  <c r="K559" i="1"/>
  <c r="L561" i="1"/>
  <c r="L562" i="1"/>
  <c r="L564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G570" i="1" s="1"/>
  <c r="H569" i="1"/>
  <c r="I569" i="1"/>
  <c r="I570" i="1" s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2" i="1"/>
  <c r="K593" i="1"/>
  <c r="K595" i="1"/>
  <c r="K596" i="1"/>
  <c r="I597" i="1"/>
  <c r="H649" i="1"/>
  <c r="J597" i="1"/>
  <c r="H650" i="1" s="1"/>
  <c r="J650" i="1"/>
  <c r="K601" i="1"/>
  <c r="K604" i="1"/>
  <c r="G647" i="1" s="1"/>
  <c r="K602" i="1"/>
  <c r="K603" i="1"/>
  <c r="H604" i="1"/>
  <c r="I604" i="1"/>
  <c r="J604" i="1"/>
  <c r="F613" i="1"/>
  <c r="G613" i="1"/>
  <c r="H613" i="1"/>
  <c r="I613" i="1"/>
  <c r="J613" i="1"/>
  <c r="K613" i="1"/>
  <c r="H626" i="1"/>
  <c r="H627" i="1"/>
  <c r="H628" i="1"/>
  <c r="H629" i="1"/>
  <c r="H631" i="1"/>
  <c r="H632" i="1"/>
  <c r="H634" i="1"/>
  <c r="H635" i="1"/>
  <c r="H637" i="1"/>
  <c r="H640" i="1"/>
  <c r="G642" i="1"/>
  <c r="J642" i="1" s="1"/>
  <c r="G643" i="1"/>
  <c r="G650" i="1"/>
  <c r="G651" i="1"/>
  <c r="H651" i="1"/>
  <c r="J651" i="1"/>
  <c r="G652" i="1"/>
  <c r="H652" i="1"/>
  <c r="J652" i="1" s="1"/>
  <c r="G653" i="1"/>
  <c r="H653" i="1"/>
  <c r="J653" i="1"/>
  <c r="H654" i="1"/>
  <c r="K256" i="1"/>
  <c r="K270" i="1" s="1"/>
  <c r="A40" i="12"/>
  <c r="C12" i="13"/>
  <c r="E13" i="13"/>
  <c r="C13" i="13" s="1"/>
  <c r="K570" i="1"/>
  <c r="I168" i="1"/>
  <c r="H139" i="1"/>
  <c r="G191" i="1"/>
  <c r="J654" i="1"/>
  <c r="G36" i="2"/>
  <c r="I337" i="1"/>
  <c r="I351" i="1" s="1"/>
  <c r="C139" i="2"/>
  <c r="G21" i="2"/>
  <c r="F433" i="1"/>
  <c r="G168" i="1"/>
  <c r="G192" i="1" s="1"/>
  <c r="G16" i="2"/>
  <c r="J48" i="1"/>
  <c r="G47" i="2" s="1"/>
  <c r="G662" i="1"/>
  <c r="B163" i="2"/>
  <c r="J23" i="1"/>
  <c r="I451" i="1"/>
  <c r="J9" i="1"/>
  <c r="G8" i="2"/>
  <c r="E129" i="2"/>
  <c r="E143" i="2"/>
  <c r="E121" i="2"/>
  <c r="G660" i="1"/>
  <c r="H660" i="1"/>
  <c r="D18" i="13"/>
  <c r="C18" i="13"/>
  <c r="C113" i="2"/>
  <c r="C18" i="10"/>
  <c r="C120" i="2"/>
  <c r="C12" i="10"/>
  <c r="C110" i="2"/>
  <c r="C121" i="2"/>
  <c r="I548" i="1"/>
  <c r="L269" i="1"/>
  <c r="I111" i="1"/>
  <c r="I192" i="1" s="1"/>
  <c r="G629" i="1"/>
  <c r="J629" i="1" s="1"/>
  <c r="F55" i="2"/>
  <c r="G22" i="2"/>
  <c r="G31" i="2"/>
  <c r="J570" i="1"/>
  <c r="C108" i="2"/>
  <c r="F139" i="1"/>
  <c r="C38" i="10" s="1"/>
  <c r="C119" i="2"/>
  <c r="E16" i="13"/>
  <c r="C16" i="13" s="1"/>
  <c r="E55" i="2"/>
  <c r="L392" i="1"/>
  <c r="C137" i="2" s="1"/>
  <c r="C25" i="10"/>
  <c r="C118" i="2"/>
  <c r="E62" i="2"/>
  <c r="L255" i="1"/>
  <c r="G624" i="1"/>
  <c r="H619" i="1"/>
  <c r="C102" i="2"/>
  <c r="C35" i="10"/>
  <c r="F22" i="13"/>
  <c r="H25" i="13"/>
  <c r="C25" i="13" s="1"/>
  <c r="D90" i="2"/>
  <c r="C76" i="2"/>
  <c r="C55" i="2"/>
  <c r="C18" i="2"/>
  <c r="J550" i="1"/>
  <c r="J551" i="1" s="1"/>
  <c r="C32" i="10"/>
  <c r="C23" i="10"/>
  <c r="E119" i="2"/>
  <c r="G31" i="13"/>
  <c r="K337" i="1"/>
  <c r="K351" i="1" s="1"/>
  <c r="D17" i="13"/>
  <c r="C17" i="13" s="1"/>
  <c r="D80" i="2"/>
  <c r="F475" i="1"/>
  <c r="H621" i="1" s="1"/>
  <c r="G102" i="2"/>
  <c r="C90" i="2"/>
  <c r="E8" i="13"/>
  <c r="E33" i="13" s="1"/>
  <c r="D35" i="13"/>
  <c r="F51" i="1"/>
  <c r="H616" i="1" s="1"/>
  <c r="J616" i="1"/>
  <c r="G621" i="1"/>
  <c r="J621" i="1"/>
  <c r="C56" i="2"/>
  <c r="C61" i="2" s="1"/>
  <c r="C62" i="2"/>
  <c r="H33" i="13"/>
  <c r="A22" i="12"/>
  <c r="G663" i="1"/>
  <c r="G671" i="1" s="1"/>
  <c r="C5" i="10" s="1"/>
  <c r="G270" i="1"/>
  <c r="L613" i="1"/>
  <c r="L246" i="1"/>
  <c r="C114" i="2"/>
  <c r="L523" i="1"/>
  <c r="L569" i="1"/>
  <c r="I551" i="1"/>
  <c r="H551" i="1"/>
  <c r="L533" i="1"/>
  <c r="L528" i="1"/>
  <c r="F544" i="1"/>
  <c r="F551" i="1"/>
  <c r="I662" i="1"/>
  <c r="F129" i="2"/>
  <c r="F143" i="2" s="1"/>
  <c r="F144" i="2" s="1"/>
  <c r="C29" i="10"/>
  <c r="H51" i="1"/>
  <c r="H618" i="1" s="1"/>
  <c r="J618" i="1" s="1"/>
  <c r="E49" i="2"/>
  <c r="G162" i="2"/>
  <c r="G163" i="2"/>
  <c r="G156" i="2"/>
  <c r="D14" i="13"/>
  <c r="C14" i="13"/>
  <c r="C20" i="10"/>
  <c r="C122" i="2"/>
  <c r="G627" i="1"/>
  <c r="J627" i="1" s="1"/>
  <c r="D61" i="2"/>
  <c r="D62" i="2" s="1"/>
  <c r="D103" i="2" s="1"/>
  <c r="D18" i="2"/>
  <c r="C117" i="2"/>
  <c r="C21" i="10"/>
  <c r="D15" i="13"/>
  <c r="C15" i="13"/>
  <c r="C123" i="2"/>
  <c r="G648" i="1"/>
  <c r="H646" i="1"/>
  <c r="F661" i="1"/>
  <c r="I661" i="1" s="1"/>
  <c r="L210" i="1"/>
  <c r="G351" i="1"/>
  <c r="L543" i="1"/>
  <c r="H597" i="1"/>
  <c r="H648" i="1" s="1"/>
  <c r="K591" i="1"/>
  <c r="H327" i="1"/>
  <c r="H337" i="1"/>
  <c r="H351" i="1" s="1"/>
  <c r="F62" i="2"/>
  <c r="F103" i="2" s="1"/>
  <c r="D5" i="13"/>
  <c r="C5" i="13" s="1"/>
  <c r="G18" i="2"/>
  <c r="C24" i="10"/>
  <c r="L336" i="1"/>
  <c r="C11" i="10"/>
  <c r="E109" i="2"/>
  <c r="L318" i="1"/>
  <c r="C16" i="10"/>
  <c r="H623" i="1"/>
  <c r="J623" i="1" s="1"/>
  <c r="E18" i="2"/>
  <c r="E87" i="2"/>
  <c r="E90" i="2" s="1"/>
  <c r="E50" i="2"/>
  <c r="C36" i="10"/>
  <c r="L400" i="1"/>
  <c r="L407" i="1"/>
  <c r="H645" i="1" s="1"/>
  <c r="J638" i="1"/>
  <c r="J19" i="1"/>
  <c r="G620" i="1"/>
  <c r="H636" i="1"/>
  <c r="J469" i="1"/>
  <c r="J475" i="1" s="1"/>
  <c r="H625" i="1"/>
  <c r="G623" i="1"/>
  <c r="L256" i="1"/>
  <c r="L270" i="1" s="1"/>
  <c r="G631" i="1" s="1"/>
  <c r="J631" i="1" s="1"/>
  <c r="G666" i="1"/>
  <c r="C127" i="2"/>
  <c r="C15" i="10"/>
  <c r="E117" i="2"/>
  <c r="L327" i="1"/>
  <c r="C138" i="2"/>
  <c r="G636" i="1"/>
  <c r="J636" i="1" s="1"/>
  <c r="C8" i="13"/>
  <c r="J648" i="1" l="1"/>
  <c r="H544" i="1"/>
  <c r="K549" i="1"/>
  <c r="K550" i="1"/>
  <c r="G551" i="1"/>
  <c r="K548" i="1"/>
  <c r="H647" i="1"/>
  <c r="J647" i="1" s="1"/>
  <c r="J270" i="1"/>
  <c r="J643" i="1"/>
  <c r="H570" i="1"/>
  <c r="F570" i="1"/>
  <c r="G460" i="1"/>
  <c r="H639" i="1" s="1"/>
  <c r="J639" i="1" s="1"/>
  <c r="J640" i="1"/>
  <c r="I433" i="1"/>
  <c r="G433" i="1"/>
  <c r="L418" i="1"/>
  <c r="J191" i="1"/>
  <c r="G644" i="1"/>
  <c r="F191" i="1"/>
  <c r="F192" i="1" s="1"/>
  <c r="G626" i="1" s="1"/>
  <c r="J626" i="1" s="1"/>
  <c r="G103" i="2"/>
  <c r="F256" i="1"/>
  <c r="F270" i="1" s="1"/>
  <c r="H659" i="1"/>
  <c r="H663" i="1" s="1"/>
  <c r="C22" i="13"/>
  <c r="C140" i="2"/>
  <c r="C143" i="2" s="1"/>
  <c r="C144" i="2" s="1"/>
  <c r="K597" i="1"/>
  <c r="G646" i="1" s="1"/>
  <c r="J646" i="1" s="1"/>
  <c r="L570" i="1"/>
  <c r="K544" i="1"/>
  <c r="I544" i="1"/>
  <c r="G544" i="1"/>
  <c r="L426" i="1"/>
  <c r="J433" i="1"/>
  <c r="G407" i="1"/>
  <c r="H644" i="1" s="1"/>
  <c r="F337" i="1"/>
  <c r="F351" i="1" s="1"/>
  <c r="G51" i="1"/>
  <c r="H617" i="1" s="1"/>
  <c r="J617" i="1" s="1"/>
  <c r="G622" i="1"/>
  <c r="J619" i="1"/>
  <c r="I660" i="1"/>
  <c r="J649" i="1"/>
  <c r="K433" i="1"/>
  <c r="G133" i="2" s="1"/>
  <c r="G143" i="2" s="1"/>
  <c r="G144" i="2" s="1"/>
  <c r="E80" i="2"/>
  <c r="C77" i="2"/>
  <c r="C80" i="2" s="1"/>
  <c r="C103" i="2" s="1"/>
  <c r="J43" i="1"/>
  <c r="I459" i="1"/>
  <c r="I460" i="1" s="1"/>
  <c r="H641" i="1" s="1"/>
  <c r="J32" i="1"/>
  <c r="L381" i="1"/>
  <c r="G635" i="1" s="1"/>
  <c r="J635" i="1" s="1"/>
  <c r="F31" i="13"/>
  <c r="F33" i="13" s="1"/>
  <c r="C17" i="10"/>
  <c r="D158" i="2"/>
  <c r="G158" i="2" s="1"/>
  <c r="H499" i="1"/>
  <c r="K502" i="1"/>
  <c r="L538" i="1"/>
  <c r="L544" i="1" s="1"/>
  <c r="C26" i="10"/>
  <c r="L350" i="1"/>
  <c r="D126" i="2"/>
  <c r="D127" i="2" s="1"/>
  <c r="D144" i="2" s="1"/>
  <c r="L361" i="1"/>
  <c r="K497" i="1"/>
  <c r="H210" i="1"/>
  <c r="H256" i="1" s="1"/>
  <c r="H270" i="1" s="1"/>
  <c r="E102" i="2"/>
  <c r="F49" i="2"/>
  <c r="F50" i="2" s="1"/>
  <c r="C31" i="2"/>
  <c r="C50" i="2" s="1"/>
  <c r="I445" i="1"/>
  <c r="G641" i="1" s="1"/>
  <c r="H168" i="1"/>
  <c r="J192" i="1"/>
  <c r="E123" i="2"/>
  <c r="E127" i="2" s="1"/>
  <c r="I368" i="1"/>
  <c r="H633" i="1" s="1"/>
  <c r="J633" i="1" s="1"/>
  <c r="D29" i="13"/>
  <c r="C29" i="13" s="1"/>
  <c r="D19" i="13"/>
  <c r="G33" i="13"/>
  <c r="L275" i="1"/>
  <c r="B9" i="12"/>
  <c r="A13" i="12" s="1"/>
  <c r="K551" i="1" l="1"/>
  <c r="C10" i="10"/>
  <c r="L289" i="1"/>
  <c r="E108" i="2"/>
  <c r="E114" i="2" s="1"/>
  <c r="E144" i="2" s="1"/>
  <c r="H192" i="1"/>
  <c r="G628" i="1" s="1"/>
  <c r="J628" i="1" s="1"/>
  <c r="C39" i="10"/>
  <c r="G42" i="2"/>
  <c r="G49" i="2" s="1"/>
  <c r="G50" i="2" s="1"/>
  <c r="J50" i="1"/>
  <c r="E103" i="2"/>
  <c r="H671" i="1"/>
  <c r="C6" i="10" s="1"/>
  <c r="H666" i="1"/>
  <c r="J644" i="1"/>
  <c r="L433" i="1"/>
  <c r="G637" i="1" s="1"/>
  <c r="J637" i="1" s="1"/>
  <c r="C19" i="13"/>
  <c r="G630" i="1"/>
  <c r="J630" i="1" s="1"/>
  <c r="G645" i="1"/>
  <c r="J645" i="1" s="1"/>
  <c r="J641" i="1"/>
  <c r="C27" i="10"/>
  <c r="G634" i="1"/>
  <c r="J634" i="1" s="1"/>
  <c r="D160" i="2"/>
  <c r="G160" i="2" s="1"/>
  <c r="K499" i="1"/>
  <c r="J622" i="1"/>
  <c r="G625" i="1" l="1"/>
  <c r="J51" i="1"/>
  <c r="H620" i="1" s="1"/>
  <c r="J620" i="1" s="1"/>
  <c r="D31" i="13"/>
  <c r="L337" i="1"/>
  <c r="L351" i="1" s="1"/>
  <c r="G632" i="1" s="1"/>
  <c r="J632" i="1" s="1"/>
  <c r="F659" i="1"/>
  <c r="D27" i="10"/>
  <c r="C41" i="10"/>
  <c r="C28" i="10"/>
  <c r="D10" i="10"/>
  <c r="D36" i="10" l="1"/>
  <c r="D35" i="10"/>
  <c r="D37" i="10"/>
  <c r="D38" i="10"/>
  <c r="D40" i="10"/>
  <c r="D22" i="10"/>
  <c r="D18" i="10"/>
  <c r="D11" i="10"/>
  <c r="D28" i="10" s="1"/>
  <c r="D23" i="10"/>
  <c r="D24" i="10"/>
  <c r="D19" i="10"/>
  <c r="D16" i="10"/>
  <c r="D12" i="10"/>
  <c r="D21" i="10"/>
  <c r="D13" i="10"/>
  <c r="D25" i="10"/>
  <c r="C30" i="10"/>
  <c r="D15" i="10"/>
  <c r="D20" i="10"/>
  <c r="D26" i="10"/>
  <c r="D17" i="10"/>
  <c r="D39" i="10"/>
  <c r="F663" i="1"/>
  <c r="I659" i="1"/>
  <c r="I663" i="1" s="1"/>
  <c r="C31" i="13"/>
  <c r="D33" i="13"/>
  <c r="D36" i="13" s="1"/>
  <c r="J625" i="1"/>
  <c r="H655" i="1"/>
  <c r="F671" i="1" l="1"/>
  <c r="C4" i="10" s="1"/>
  <c r="F666" i="1"/>
  <c r="I671" i="1"/>
  <c r="C7" i="10" s="1"/>
  <c r="I66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<sst xmlns="http://schemas.openxmlformats.org/spreadsheetml/2006/main" count="3950" uniqueCount="916">
  <si>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</si>
  <si>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</si>
  <si>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</si>
  <si>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</si>
  <si>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</si>
  <si>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</si>
  <si>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</si>
  <si>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</si>
  <si>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</si>
  <si>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</si>
  <si>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</si>
  <si>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</si>
  <si>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</si>
  <si>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</si>
  <si>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</si>
  <si>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</si>
  <si>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</si>
  <si>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</si>
  <si>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</si>
  <si>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</si>
  <si>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</si>
  <si>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</si>
  <si>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</si>
  <si>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</si>
  <si>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</si>
  <si>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</si>
  <si>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</si>
  <si>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</si>
  <si>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</si>
  <si>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</si>
  <si>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</si>
  <si>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</si>
  <si>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</si>
  <si>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</si>
  <si>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</si>
  <si>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</si>
  <si>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</si>
  <si>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</si>
  <si>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</si>
  <si>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</si>
  <si>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</si>
  <si>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</si>
  <si>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</si>
  <si>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</si>
  <si>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</si>
  <si>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</si>
  <si>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</si>
  <si>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</si>
  <si>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</si>
  <si>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</si>
  <si>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</si>
  <si>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</si>
  <si>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</si>
  <si>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</si>
  <si>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</si>
  <si>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</si>
  <si>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</si>
  <si>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</si>
  <si>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</si>
  <si>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</si>
  <si>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</si>
  <si>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</si>
  <si>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</si>
  <si>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</si>
  <si>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</si>
  <si>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</si>
  <si>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</si>
  <si>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</si>
  <si>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</si>
  <si>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</si>
  <si>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</si>
  <si>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</si>
  <si>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</si>
  <si>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</si>
  <si>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</si>
  <si>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</si>
  <si>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</si>
  <si>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</si>
  <si>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</si>
  <si>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</si>
  <si>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</si>
  <si>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</si>
  <si>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</si>
  <si>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</si>
  <si>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</si>
  <si>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</si>
  <si>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</si>
  <si>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</si>
  <si>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</si>
  <si>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</si>
  <si>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</si>
  <si>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</si>
  <si>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</si>
  <si>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</si>
  <si>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</si>
  <si>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</si>
  <si>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</si>
  <si>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</si>
  <si>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</si>
  <si>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</si>
  <si>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</si>
  <si>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</si>
  <si>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</si>
  <si>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</si>
  <si>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</si>
  <si>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</si>
  <si>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</si>
  <si>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</si>
  <si>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</si>
  <si>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</si>
  <si>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</si>
  <si>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</si>
  <si>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</si>
  <si>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</si>
  <si>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</si>
  <si>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</si>
  <si>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</si>
  <si>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</si>
  <si>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</si>
  <si>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</si>
  <si>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</si>
  <si>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</si>
  <si>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</si>
  <si>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</si>
  <si>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</si>
  <si>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</si>
  <si>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</si>
  <si>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</si>
  <si>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</si>
  <si>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</si>
  <si>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</si>
  <si>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</si>
  <si>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</si>
  <si>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</si>
  <si>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</si>
  <si>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</si>
  <si>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</si>
  <si>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</si>
  <si>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</si>
  <si>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</si>
  <si>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</si>
  <si>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</si>
  <si>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</si>
  <si>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</si>
  <si>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</si>
  <si>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</si>
  <si>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</si>
  <si>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</si>
  <si>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</si>
  <si>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</si>
  <si>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</si>
  <si>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</si>
  <si>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</si>
  <si>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</si>
  <si>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</si>
  <si>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</si>
  <si>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</si>
  <si>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</si>
  <si>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</si>
  <si>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</si>
  <si>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</si>
  <si>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</si>
  <si>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</si>
  <si>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</si>
  <si>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</si>
  <si>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</si>
  <si>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</si>
  <si>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</si>
  <si>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</si>
  <si>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</si>
  <si>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</si>
  <si>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</si>
  <si>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</si>
  <si>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</si>
  <si>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</si>
  <si>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</si>
  <si>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</si>
  <si>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</si>
  <si>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</si>
  <si>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</si>
  <si>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</si>
  <si>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</si>
  <si>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</si>
  <si>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</si>
  <si>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</si>
  <si>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</si>
  <si>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</si>
  <si>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</si>
  <si>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</si>
  <si>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</si>
  <si>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</si>
  <si>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</si>
  <si>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</si>
  <si>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</si>
  <si>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</si>
  <si>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</si>
  <si>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</si>
  <si>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</si>
  <si>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</si>
  <si>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</si>
  <si>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</si>
  <si>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</si>
  <si>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</si>
  <si>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</si>
  <si>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</si>
  <si>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</si>
  <si>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</si>
  <si>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</si>
  <si>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</si>
  <si>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</si>
  <si>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</si>
  <si>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</si>
  <si>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</si>
  <si>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</si>
  <si>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</si>
  <si>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</si>
  <si>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</si>
  <si>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</si>
  <si>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</si>
  <si>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</si>
  <si>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</si>
  <si>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</si>
  <si>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</si>
  <si>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</si>
  <si>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</si>
  <si>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</si>
  <si>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</si>
  <si>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</si>
  <si>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</si>
  <si>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</si>
  <si>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</si>
  <si>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</si>
  <si>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</si>
  <si>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</si>
  <si>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</si>
  <si>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</si>
  <si>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</si>
  <si>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</si>
  <si>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</si>
  <si>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</si>
  <si>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</si>
  <si>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</si>
  <si>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</si>
  <si>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</si>
  <si>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</si>
  <si>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</si>
  <si>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</si>
  <si>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</si>
  <si>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</si>
  <si>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</si>
  <si>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</si>
  <si>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</si>
  <si>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</si>
  <si>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</si>
  <si>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</si>
  <si>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</si>
  <si>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</si>
  <si>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</si>
  <si>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</si>
  <si>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</si>
  <si>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</si>
  <si>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</si>
  <si>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</si>
  <si>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</si>
  <si>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</si>
  <si>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</si>
  <si>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</si>
  <si>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</si>
  <si>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</si>
  <si>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</si>
  <si>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</si>
  <si>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</si>
  <si>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</si>
  <si>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</si>
  <si>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</si>
  <si>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</si>
  <si>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</si>
  <si>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</si>
  <si>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</si>
  <si>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</si>
  <si>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</si>
  <si>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</si>
  <si>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</si>
  <si>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</si>
  <si>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</si>
  <si>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</si>
  <si>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</si>
  <si>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</si>
  <si>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</si>
  <si>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</si>
  <si>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</si>
  <si>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</si>
  <si>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</si>
  <si>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</si>
  <si>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</si>
  <si>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</si>
  <si>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</si>
  <si>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</si>
  <si>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</si>
  <si>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</si>
  <si>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</si>
  <si>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</si>
  <si>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</si>
  <si>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</si>
  <si>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</si>
  <si>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</si>
  <si>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</si>
  <si>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</si>
  <si>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</si>
  <si>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</si>
  <si>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</si>
  <si>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</si>
  <si>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</si>
  <si>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</si>
  <si>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</si>
  <si>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</si>
  <si>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</si>
  <si>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</si>
  <si>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</si>
  <si>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</si>
  <si>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</si>
  <si>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</si>
  <si>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</si>
  <si>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</si>
  <si>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</si>
  <si>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</si>
  <si>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</si>
  <si>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</si>
  <si>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</si>
  <si>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</si>
  <si>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</si>
  <si>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</si>
  <si>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</si>
  <si>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</si>
  <si>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</si>
  <si>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</si>
  <si>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</si>
  <si>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</si>
  <si>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</si>
  <si>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</si>
  <si>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</si>
  <si>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</si>
  <si>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</si>
  <si>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</si>
  <si>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</si>
  <si>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</si>
  <si>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</si>
  <si>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</si>
  <si>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</si>
  <si>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</si>
  <si>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</si>
  <si>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</si>
  <si>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</si>
  <si>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</si>
  <si>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</si>
  <si>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</si>
  <si>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</si>
  <si>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</si>
  <si>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</si>
  <si>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</si>
  <si>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</si>
  <si>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</si>
  <si>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</si>
  <si>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</si>
  <si>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</si>
  <si>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</si>
  <si>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</si>
  <si>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</si>
  <si>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</si>
  <si>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</si>
  <si>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</si>
  <si>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</si>
  <si>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</si>
  <si>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</si>
  <si>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</si>
  <si>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</si>
  <si>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</si>
  <si>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</si>
  <si>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</si>
  <si>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</si>
  <si>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</si>
  <si>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</si>
  <si>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</si>
  <si>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</si>
  <si>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</si>
  <si>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</si>
  <si>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</si>
  <si>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</si>
  <si>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</si>
  <si>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</si>
  <si>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</si>
  <si>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</si>
  <si>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</si>
  <si>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</si>
  <si>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</si>
  <si>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</si>
  <si>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</si>
  <si>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</si>
  <si>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</si>
  <si>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</si>
  <si>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</si>
  <si>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</si>
  <si>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</si>
  <si>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</si>
  <si>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</si>
  <si>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</si>
  <si>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</si>
  <si>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</si>
  <si>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</si>
  <si>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</si>
  <si>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</si>
  <si>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</si>
  <si>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</si>
  <si>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</si>
  <si>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</si>
  <si>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</si>
  <si>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</si>
  <si>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</si>
  <si>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</si>
  <si>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</si>
  <si>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</si>
  <si>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</si>
  <si>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</si>
  <si>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</si>
  <si>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</si>
  <si>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</si>
  <si>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</si>
  <si>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</si>
  <si>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</si>
  <si>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</si>
  <si>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</si>
  <si>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</si>
  <si>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</si>
  <si>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</si>
  <si>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</si>
  <si>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</si>
  <si>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</si>
  <si>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</si>
  <si>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</si>
  <si>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</si>
  <si>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</si>
  <si>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</si>
  <si>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</si>
  <si>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</si>
  <si>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</si>
  <si>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</si>
  <si>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</si>
  <si>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</si>
  <si>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</si>
  <si>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</si>
  <si>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</si>
  <si>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</si>
  <si>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</si>
  <si>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</si>
  <si>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</si>
  <si>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</si>
  <si>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</si>
  <si>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</si>
  <si>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</si>
  <si>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</si>
  <si>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</si>
  <si>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</si>
  <si>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</si>
  <si>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</si>
  <si>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</si>
  <si>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</si>
  <si>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</si>
  <si>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</si>
  <si>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</si>
  <si>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</si>
  <si>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</si>
  <si>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</si>
  <si>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</si>
  <si>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</si>
  <si>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</si>
  <si>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</si>
  <si>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</si>
  <si>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</si>
  <si>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</si>
  <si>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</si>
  <si>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</si>
  <si>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</si>
  <si>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</si>
  <si>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</si>
  <si>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</si>
  <si>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</si>
  <si>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</si>
  <si>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</si>
  <si>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</si>
  <si>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</si>
  <si>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</si>
  <si>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</si>
  <si>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</si>
  <si>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</si>
  <si>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</si>
  <si>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</si>
  <si>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</si>
  <si>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</si>
  <si>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</si>
  <si>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</si>
  <si>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</si>
  <si>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</si>
  <si>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</si>
  <si>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</si>
  <si>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</si>
  <si>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</si>
  <si>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</si>
  <si>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</si>
  <si>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</si>
  <si>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</si>
  <si>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</si>
  <si>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</si>
  <si>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</si>
  <si>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</si>
  <si>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</si>
  <si>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</si>
  <si>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</si>
  <si>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</si>
  <si>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</si>
  <si>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</si>
  <si>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</si>
  <si>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</si>
  <si>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</si>
  <si>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</si>
  <si>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</si>
  <si>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</si>
  <si>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</si>
  <si>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</si>
  <si>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</si>
  <si>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</si>
  <si>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</si>
  <si>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</si>
  <si>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</si>
  <si>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</si>
  <si>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</si>
  <si>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</si>
  <si>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</si>
  <si>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</si>
  <si>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</si>
  <si>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</si>
  <si>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</si>
  <si>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</si>
  <si>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</si>
  <si>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</si>
  <si>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</si>
  <si>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</si>
  <si>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</si>
  <si>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</si>
  <si>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</si>
  <si>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</si>
  <si>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</si>
  <si>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</si>
  <si>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</si>
  <si>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</si>
  <si>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</si>
  <si>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</si>
  <si>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</si>
  <si>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</si>
  <si>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</si>
  <si>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</si>
  <si>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</si>
  <si>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</si>
  <si>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</si>
  <si>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</si>
  <si>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</si>
  <si>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</si>
  <si>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</si>
  <si>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</si>
  <si>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</si>
  <si>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</si>
  <si>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</si>
  <si>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</si>
  <si>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</si>
  <si>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</si>
  <si>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</si>
  <si>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</si>
  <si>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</si>
  <si>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</si>
  <si>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</si>
  <si>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</si>
  <si>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</si>
  <si>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</si>
  <si>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</si>
  <si>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</si>
  <si>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</si>
  <si>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</si>
  <si>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</si>
  <si>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</si>
  <si>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</si>
  <si>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</si>
  <si>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</si>
  <si>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</si>
  <si>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</si>
  <si>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</si>
  <si>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</si>
  <si>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</si>
  <si>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</si>
  <si>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</si>
  <si>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</si>
  <si>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</si>
  <si>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</si>
  <si>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</si>
  <si>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</si>
  <si>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</si>
  <si>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</si>
  <si>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</si>
  <si>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</si>
  <si>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</si>
  <si>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</si>
  <si>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</si>
  <si>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</si>
  <si>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</si>
  <si>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</si>
  <si>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</si>
  <si>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</si>
  <si>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</si>
  <si>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</si>
  <si>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</si>
  <si>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</si>
  <si>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</si>
  <si>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</si>
  <si>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</si>
  <si>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</si>
  <si>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</si>
  <si>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</si>
  <si>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</si>
  <si>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</si>
  <si>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</si>
  <si>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</si>
  <si>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</si>
  <si>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</si>
  <si>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</si>
  <si>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</si>
  <si>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</si>
  <si>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</si>
  <si>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</si>
  <si>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</si>
  <si>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</si>
  <si>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</si>
  <si>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</si>
  <si>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</si>
  <si>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</si>
  <si>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</si>
  <si>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</si>
  <si>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</si>
  <si>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</si>
  <si>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</si>
  <si>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</si>
  <si>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</si>
  <si>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</si>
  <si>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</si>
  <si>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</si>
  <si>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</si>
  <si>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</si>
  <si>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</si>
  <si>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</si>
  <si>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</si>
  <si>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</si>
  <si>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</si>
  <si>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</si>
  <si>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</si>
  <si>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</si>
  <si>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</si>
  <si>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</si>
  <si>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</si>
  <si>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</si>
  <si>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</si>
  <si>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</si>
  <si>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</si>
  <si>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</si>
  <si>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</si>
  <si>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</si>
  <si>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</si>
  <si>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</si>
  <si>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</si>
  <si>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</si>
  <si>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</si>
  <si>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</si>
  <si>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</si>
  <si>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</si>
  <si>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</si>
  <si>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</si>
  <si>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</si>
  <si>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</si>
  <si>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</si>
  <si>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</si>
  <si>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</si>
  <si>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</si>
  <si>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</si>
  <si>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</si>
  <si>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</si>
  <si>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</si>
  <si>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</si>
  <si>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</si>
  <si>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</si>
  <si>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</si>
  <si>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</si>
  <si>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</si>
  <si>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</si>
  <si>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</si>
  <si>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</si>
  <si>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</si>
  <si>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</si>
  <si>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</si>
  <si>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</si>
  <si>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</si>
  <si>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</si>
  <si>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</si>
  <si>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</si>
  <si>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</si>
  <si>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</si>
  <si>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</si>
  <si>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</si>
  <si>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</si>
  <si>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</si>
  <si>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</si>
  <si>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</si>
  <si>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</si>
  <si>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</si>
  <si>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</si>
  <si>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</si>
  <si>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</si>
  <si>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</si>
  <si>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</si>
  <si>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</si>
  <si>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</si>
  <si>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</si>
  <si>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</si>
  <si>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</si>
  <si>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</si>
  <si>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</si>
  <si>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</si>
  <si>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</si>
  <si>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</si>
  <si>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</si>
  <si>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</si>
  <si>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</si>
  <si>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</si>
  <si>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</si>
  <si>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</si>
  <si>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</si>
  <si>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</si>
  <si>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</si>
  <si>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</si>
  <si>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</si>
  <si>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</si>
  <si>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</si>
  <si>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</si>
  <si>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</si>
  <si>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</si>
  <si>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</si>
  <si>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</si>
  <si>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</si>
  <si>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</si>
  <si>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</si>
  <si>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</si>
  <si>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</si>
  <si>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</si>
  <si>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</si>
  <si>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</si>
  <si>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</si>
  <si>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</si>
  <si>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</si>
  <si>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</si>
  <si>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</si>
  <si>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</si>
  <si>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</si>
  <si>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</si>
  <si>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</si>
  <si>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</si>
  <si>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</si>
  <si>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</si>
  <si>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</si>
  <si>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</si>
  <si>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</si>
  <si>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</si>
  <si>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</si>
  <si>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</si>
  <si>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</si>
  <si>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</si>
  <si>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</si>
  <si>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</si>
  <si>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</si>
  <si>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</si>
  <si>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</si>
  <si>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</si>
  <si>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</si>
  <si>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</si>
  <si>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</si>
  <si>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</si>
  <si>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</si>
  <si>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</si>
  <si>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</si>
  <si>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</si>
  <si>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</si>
  <si>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</si>
  <si>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</si>
  <si>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</si>
  <si>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</si>
  <si>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</si>
  <si>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</si>
  <si>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</si>
  <si>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</si>
  <si>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</si>
  <si>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</si>
  <si>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</si>
  <si>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</si>
  <si>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</si>
  <si>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</si>
  <si>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</si>
  <si>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</si>
  <si>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</si>
  <si>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</si>
  <si>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</si>
  <si>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</si>
  <si>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</si>
  <si>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</si>
  <si>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</si>
  <si>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</si>
  <si>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</si>
  <si>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</si>
  <si>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</si>
  <si>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</si>
  <si>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</si>
  <si>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</si>
  <si>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</si>
  <si>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</si>
  <si>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</si>
  <si>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</si>
  <si>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</si>
  <si>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</si>
  <si>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</si>
  <si>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</si>
  <si>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</si>
  <si>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</si>
  <si>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</si>
  <si>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</si>
  <si>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</si>
  <si>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</si>
  <si>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</si>
  <si>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</si>
  <si>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</si>
  <si>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</si>
  <si>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</si>
  <si>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</si>
  <si>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</si>
  <si>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</si>
  <si>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</si>
  <si>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</si>
  <si>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</si>
  <si>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</si>
  <si>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</si>
  <si>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</si>
  <si>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</si>
  <si>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</si>
  <si>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</si>
  <si>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</si>
  <si>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</si>
  <si>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</si>
  <si>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</si>
  <si>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</si>
  <si>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</si>
  <si>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</si>
  <si>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</si>
  <si>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</si>
  <si>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</si>
  <si>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</si>
  <si>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</si>
  <si>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</si>
  <si>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</si>
  <si>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</si>
  <si>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</si>
  <si>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</si>
  <si>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</si>
  <si>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</si>
  <si>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</si>
  <si>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</si>
  <si>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</si>
  <si>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</si>
  <si>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</si>
  <si>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</si>
  <si>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</si>
  <si>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</si>
  <si>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</si>
  <si>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</si>
  <si>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</si>
  <si>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</si>
  <si>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</si>
  <si>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</si>
  <si>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</si>
  <si>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</si>
  <si>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</si>
  <si>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</si>
  <si>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</si>
  <si>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</si>
  <si>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</si>
  <si>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</si>
  <si>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</si>
  <si>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</si>
  <si>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</si>
  <si>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</si>
  <si>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</si>
  <si>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</si>
  <si>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</si>
  <si>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</si>
  <si>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</si>
  <si>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</si>
  <si>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</si>
  <si>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</si>
  <si>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Merrimack School Ddistrict</t>
  </si>
  <si>
    <t>2/01</t>
  </si>
  <si>
    <t>2/04</t>
  </si>
  <si>
    <t>07/07</t>
  </si>
  <si>
    <t>8/20</t>
  </si>
  <si>
    <t>8/23</t>
  </si>
  <si>
    <t>07/20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</si>
</sst>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  <pageSetUpPr fitToPage="1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351</v>
      </c>
      <c r="C2" s="21">
        <v>351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2901306.09</v>
      </c>
      <c r="G9" s="18"/>
      <c r="H9" s="18"/>
      <c r="I9" s="18"/>
      <c r="J9" s="67">
        <f>SUM(I438)</f>
        <v>767410.04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>
        <f>218295.86-168053</f>
        <v>50242.859999999986</v>
      </c>
      <c r="I10" s="18"/>
      <c r="J10" s="67">
        <f>SUM(I439)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182662.26</v>
      </c>
      <c r="G12" s="18">
        <v>52559.83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202051.78</v>
      </c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3286020.1299999994</v>
      </c>
      <c r="G19" s="41">
        <f>SUM(G9:G18)</f>
        <v>52559.83</v>
      </c>
      <c r="H19" s="41">
        <f>SUM(H9:H18)</f>
        <v>50242.859999999986</v>
      </c>
      <c r="I19" s="41">
        <f>SUM(I9:I18)</f>
        <v>0</v>
      </c>
      <c r="J19" s="41">
        <f>SUM(J9:J18)</f>
        <v>767410.04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56593.83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56593.83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1218874.6200000001</v>
      </c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f>92499.25+19.92</f>
        <v>92519.17</v>
      </c>
      <c r="G47" s="18">
        <v>52559.83</v>
      </c>
      <c r="H47" s="18">
        <f>167988.76+50307.1-168053</f>
        <v>50242.860000000015</v>
      </c>
      <c r="I47" s="18"/>
      <c r="J47" s="13">
        <f>SUM(I458)</f>
        <v>767410.04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1918032.51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3229426.3</v>
      </c>
      <c r="G50" s="41">
        <f>SUM(G35:G49)</f>
        <v>52559.83</v>
      </c>
      <c r="H50" s="41">
        <f>SUM(H35:H49)</f>
        <v>50242.860000000015</v>
      </c>
      <c r="I50" s="41">
        <f>SUM(I35:I49)</f>
        <v>0</v>
      </c>
      <c r="J50" s="41">
        <f>SUM(J35:J49)</f>
        <v>767410.04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3286020.13</v>
      </c>
      <c r="G51" s="41">
        <f>G50+G32</f>
        <v>52559.83</v>
      </c>
      <c r="H51" s="41">
        <f>H50+H32</f>
        <v>50242.860000000015</v>
      </c>
      <c r="I51" s="41">
        <f>I50+I32</f>
        <v>0</v>
      </c>
      <c r="J51" s="41">
        <f>J50+J32</f>
        <v>767410.04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41953965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41953965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13220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63470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24399.32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25299.32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75992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f>33329.5+7082.56-12751.26</f>
        <v>27660.799999999996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230041.44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2154.89</v>
      </c>
      <c r="G95" s="18"/>
      <c r="H95" s="18"/>
      <c r="I95" s="18"/>
      <c r="J95" s="18">
        <v>-530.80999999999995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1037360.08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18000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>
        <v>192997.28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20154.89</v>
      </c>
      <c r="G110" s="41">
        <f>SUM(G95:G109)</f>
        <v>1037360.08</v>
      </c>
      <c r="H110" s="41">
        <f>SUM(H95:H109)</f>
        <v>192997.28</v>
      </c>
      <c r="I110" s="41">
        <f>SUM(I95:I109)</f>
        <v>0</v>
      </c>
      <c r="J110" s="41">
        <f>SUM(J95:J109)</f>
        <v>-530.80999999999995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42204161.329999998</v>
      </c>
      <c r="G111" s="41">
        <f>G59+G110</f>
        <v>1037360.08</v>
      </c>
      <c r="H111" s="41">
        <f>H59+H78+H93+H110</f>
        <v>192997.28</v>
      </c>
      <c r="I111" s="41">
        <f>I59+I110</f>
        <v>0</v>
      </c>
      <c r="J111" s="41">
        <f>J59+J110</f>
        <v>-530.80999999999995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10445382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6756913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17202295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393533.4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1210654.76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24399.32</v>
      </c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16035.99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f>63470-0.1</f>
        <v>63469.9</v>
      </c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1692057.3800000001</v>
      </c>
      <c r="G135" s="41">
        <f>SUM(G122:G134)</f>
        <v>16035.99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18894352.379999999</v>
      </c>
      <c r="G139" s="41">
        <f>G120+SUM(G135:G136)</f>
        <v>16035.99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>
        <v>872423.82</v>
      </c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216329.34+2905.72+51000+3123.12+704+176</f>
        <v>274238.18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90742.02+5942.99+14205.55-440.53+32876+3400+200+50307.1</f>
        <v>197233.13000000003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25299.32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229473.19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16769.49+299.68+294.72</f>
        <v>17363.890000000003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593555.42000000004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618854.74</v>
      </c>
      <c r="G161" s="41">
        <f>SUM(G149:G160)</f>
        <v>229473.19</v>
      </c>
      <c r="H161" s="41">
        <f>SUM(H149:H160)</f>
        <v>1361259.02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f>1+7086.568</f>
        <v>7087.5680000000002</v>
      </c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625942.30799999996</v>
      </c>
      <c r="G168" s="41">
        <f>G146+G161+SUM(G162:G167)</f>
        <v>229473.19</v>
      </c>
      <c r="H168" s="41">
        <f>H146+H161+SUM(H162:H167)</f>
        <v>1361259.02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61724456.017999992</v>
      </c>
      <c r="G192" s="47">
        <f>G111+G139+G168+G191</f>
        <v>1282869.26</v>
      </c>
      <c r="H192" s="47">
        <f>H111+H139+H168+H191</f>
        <v>1554256.3</v>
      </c>
      <c r="I192" s="47">
        <f>I111+I139+I168+I191</f>
        <v>0</v>
      </c>
      <c r="J192" s="47">
        <f>J111+J139+J191</f>
        <v>-530.80999999999995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6860643.7300000004</v>
      </c>
      <c r="G196" s="18">
        <v>3532700.63</v>
      </c>
      <c r="H196" s="18">
        <v>51531.75</v>
      </c>
      <c r="I196" s="18">
        <v>304692.52</v>
      </c>
      <c r="J196" s="18">
        <v>34027.980000000003</v>
      </c>
      <c r="K196" s="18"/>
      <c r="L196" s="19">
        <f>SUM(F196:K196)</f>
        <v>10783596.609999999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3955819.15</v>
      </c>
      <c r="G197" s="18">
        <v>2036940.75</v>
      </c>
      <c r="H197" s="18">
        <v>854768.41</v>
      </c>
      <c r="I197" s="18">
        <v>23742.15</v>
      </c>
      <c r="J197" s="18"/>
      <c r="K197" s="18"/>
      <c r="L197" s="19">
        <f>SUM(F197:K197)</f>
        <v>6871270.4600000009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>
        <v>4500</v>
      </c>
      <c r="I199" s="18"/>
      <c r="J199" s="18"/>
      <c r="K199" s="18"/>
      <c r="L199" s="19">
        <f>SUM(F199:K199)</f>
        <v>4500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1523461.96</v>
      </c>
      <c r="G201" s="18">
        <v>784465.02</v>
      </c>
      <c r="H201" s="18">
        <f>497631.68-45000</f>
        <v>452631.68</v>
      </c>
      <c r="I201" s="18">
        <v>9887.85</v>
      </c>
      <c r="J201" s="18"/>
      <c r="K201" s="18"/>
      <c r="L201" s="19">
        <f t="shared" ref="L201:L207" si="0">SUM(F201:K201)</f>
        <v>2770446.5100000002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408748.43</v>
      </c>
      <c r="G202" s="18">
        <v>343401.24</v>
      </c>
      <c r="H202" s="18">
        <v>6333.23</v>
      </c>
      <c r="I202" s="18">
        <v>67657.53</v>
      </c>
      <c r="J202" s="18">
        <v>29658.45</v>
      </c>
      <c r="K202" s="18"/>
      <c r="L202" s="19">
        <f t="shared" si="0"/>
        <v>855798.87999999989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396855.61</v>
      </c>
      <c r="G203" s="18">
        <v>204349.93</v>
      </c>
      <c r="H203" s="18">
        <v>127710.51</v>
      </c>
      <c r="I203" s="18">
        <v>12325.68</v>
      </c>
      <c r="J203" s="18">
        <v>5204.42</v>
      </c>
      <c r="K203" s="18">
        <v>9999.8799999999992</v>
      </c>
      <c r="L203" s="19">
        <f t="shared" si="0"/>
        <v>756446.03000000014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1039955.12</v>
      </c>
      <c r="G204" s="18">
        <v>550643.99</v>
      </c>
      <c r="H204" s="18">
        <v>70712.66</v>
      </c>
      <c r="I204" s="18">
        <v>10573.39</v>
      </c>
      <c r="J204" s="18">
        <v>3594.81</v>
      </c>
      <c r="K204" s="18">
        <v>7767</v>
      </c>
      <c r="L204" s="19">
        <f t="shared" si="0"/>
        <v>1683246.9699999997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137392.95000000001</v>
      </c>
      <c r="G205" s="18">
        <v>70746.740000000005</v>
      </c>
      <c r="H205" s="18">
        <v>68409.94</v>
      </c>
      <c r="I205" s="18"/>
      <c r="J205" s="18"/>
      <c r="K205" s="18">
        <v>4452.97</v>
      </c>
      <c r="L205" s="19">
        <f t="shared" si="0"/>
        <v>281002.59999999998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900465.43-650000</f>
        <v>250465.43000000005</v>
      </c>
      <c r="G206" s="18">
        <v>463670.02</v>
      </c>
      <c r="H206" s="18">
        <v>390551.61</v>
      </c>
      <c r="I206" s="18">
        <v>557060.35</v>
      </c>
      <c r="J206" s="18">
        <f>5646.53+650000</f>
        <v>655646.53</v>
      </c>
      <c r="K206" s="18"/>
      <c r="L206" s="19">
        <f t="shared" si="0"/>
        <v>2317393.9400000004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25230.43</v>
      </c>
      <c r="G207" s="18">
        <v>12991.72</v>
      </c>
      <c r="H207" s="18">
        <f>1378571.72+45000</f>
        <v>1423571.72</v>
      </c>
      <c r="I207" s="18"/>
      <c r="J207" s="18"/>
      <c r="K207" s="18"/>
      <c r="L207" s="19">
        <f t="shared" si="0"/>
        <v>1461793.8699999999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47268.33</v>
      </c>
      <c r="G208" s="18">
        <v>24339.53</v>
      </c>
      <c r="H208" s="18"/>
      <c r="I208" s="18"/>
      <c r="J208" s="18"/>
      <c r="K208" s="18"/>
      <c r="L208" s="19">
        <f>SUM(F208:K208)</f>
        <v>71607.86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14645841.139999997</v>
      </c>
      <c r="G210" s="41">
        <f t="shared" si="1"/>
        <v>8024249.5700000003</v>
      </c>
      <c r="H210" s="41">
        <f t="shared" si="1"/>
        <v>3450721.51</v>
      </c>
      <c r="I210" s="41">
        <f t="shared" si="1"/>
        <v>985939.47</v>
      </c>
      <c r="J210" s="41">
        <f t="shared" si="1"/>
        <v>728132.19000000006</v>
      </c>
      <c r="K210" s="41">
        <f t="shared" si="1"/>
        <v>22219.85</v>
      </c>
      <c r="L210" s="41">
        <f t="shared" si="1"/>
        <v>27857103.730000004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2525389.4300000002</v>
      </c>
      <c r="G214" s="18">
        <v>1210093.97</v>
      </c>
      <c r="H214" s="18">
        <v>17326.64</v>
      </c>
      <c r="I214" s="18">
        <v>45792.85</v>
      </c>
      <c r="J214" s="18">
        <v>4916.33</v>
      </c>
      <c r="K214" s="18"/>
      <c r="L214" s="19">
        <f>SUM(F214:K214)</f>
        <v>3803519.2200000007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1103479.1499999999</v>
      </c>
      <c r="G215" s="18">
        <v>528755.46</v>
      </c>
      <c r="H215" s="18">
        <v>605574.82999999996</v>
      </c>
      <c r="I215" s="18">
        <v>906.1</v>
      </c>
      <c r="J215" s="18"/>
      <c r="K215" s="18"/>
      <c r="L215" s="19">
        <f>SUM(F215:K215)</f>
        <v>2238715.54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39174</v>
      </c>
      <c r="G217" s="18">
        <v>18771.05</v>
      </c>
      <c r="H217" s="18">
        <v>8272</v>
      </c>
      <c r="I217" s="18">
        <v>3765.65</v>
      </c>
      <c r="J217" s="18"/>
      <c r="K217" s="18"/>
      <c r="L217" s="19">
        <f>SUM(F217:K217)</f>
        <v>69982.7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301060.53000000003</v>
      </c>
      <c r="G219" s="18">
        <v>144259.54999999999</v>
      </c>
      <c r="H219" s="18">
        <v>226820.31</v>
      </c>
      <c r="I219" s="18">
        <v>555.66999999999996</v>
      </c>
      <c r="J219" s="18"/>
      <c r="K219" s="18"/>
      <c r="L219" s="19">
        <f t="shared" ref="L219:L225" si="2">SUM(F219:K219)</f>
        <v>672696.06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120313.86</v>
      </c>
      <c r="G220" s="18">
        <v>96777.72</v>
      </c>
      <c r="H220" s="18">
        <v>1864.17</v>
      </c>
      <c r="I220" s="18">
        <v>19914.79</v>
      </c>
      <c r="J220" s="18">
        <v>8729.8799999999992</v>
      </c>
      <c r="K220" s="18"/>
      <c r="L220" s="19">
        <f t="shared" si="2"/>
        <v>247600.42000000004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116813.25</v>
      </c>
      <c r="G221" s="18">
        <v>55973.55</v>
      </c>
      <c r="H221" s="18">
        <v>37591.21</v>
      </c>
      <c r="I221" s="18">
        <v>3628.03</v>
      </c>
      <c r="J221" s="18">
        <v>1531.9</v>
      </c>
      <c r="K221" s="18">
        <v>2943.43</v>
      </c>
      <c r="L221" s="19">
        <f t="shared" si="2"/>
        <v>218481.36999999997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270848.03999999998</v>
      </c>
      <c r="G222" s="18">
        <v>134241.24</v>
      </c>
      <c r="H222" s="18">
        <v>28318.93</v>
      </c>
      <c r="I222" s="18">
        <v>4390.26</v>
      </c>
      <c r="J222" s="18">
        <v>1800</v>
      </c>
      <c r="K222" s="18">
        <v>3710</v>
      </c>
      <c r="L222" s="19">
        <f t="shared" si="2"/>
        <v>443308.47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48896.33</v>
      </c>
      <c r="G223" s="18">
        <v>23429.71</v>
      </c>
      <c r="H223" s="18">
        <v>20136.259999999998</v>
      </c>
      <c r="I223" s="18"/>
      <c r="J223" s="18"/>
      <c r="K223" s="18">
        <v>1310.72</v>
      </c>
      <c r="L223" s="19">
        <f t="shared" si="2"/>
        <v>93773.02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290889.65000000002</v>
      </c>
      <c r="G224" s="18">
        <v>139385.95000000001</v>
      </c>
      <c r="H224" s="18">
        <v>114520.16</v>
      </c>
      <c r="I224" s="18">
        <v>202078.97</v>
      </c>
      <c r="J224" s="18">
        <v>1662.04</v>
      </c>
      <c r="K224" s="18"/>
      <c r="L224" s="19">
        <f t="shared" si="2"/>
        <v>748536.77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7426.5</v>
      </c>
      <c r="G225" s="18">
        <v>3558.57</v>
      </c>
      <c r="H225" s="18">
        <v>421334.78</v>
      </c>
      <c r="I225" s="18"/>
      <c r="J225" s="18"/>
      <c r="K225" s="18"/>
      <c r="L225" s="19">
        <f t="shared" si="2"/>
        <v>432319.85000000003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13913.29</v>
      </c>
      <c r="G226" s="18">
        <v>6666.85</v>
      </c>
      <c r="H226" s="18"/>
      <c r="I226" s="18"/>
      <c r="J226" s="18"/>
      <c r="K226" s="18"/>
      <c r="L226" s="19">
        <f>SUM(F226:K226)</f>
        <v>20580.14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4838204.0300000012</v>
      </c>
      <c r="G228" s="41">
        <f>SUM(G214:G227)</f>
        <v>2361913.62</v>
      </c>
      <c r="H228" s="41">
        <f>SUM(H214:H227)</f>
        <v>1481759.29</v>
      </c>
      <c r="I228" s="41">
        <f>SUM(I214:I227)</f>
        <v>281032.32000000001</v>
      </c>
      <c r="J228" s="41">
        <f>SUM(J214:J227)</f>
        <v>18640.150000000001</v>
      </c>
      <c r="K228" s="41">
        <f t="shared" si="3"/>
        <v>7964.1500000000005</v>
      </c>
      <c r="L228" s="41">
        <f t="shared" si="3"/>
        <v>8989513.5600000005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5564630.4400000004</v>
      </c>
      <c r="G232" s="18">
        <v>2874127.73</v>
      </c>
      <c r="H232" s="18">
        <v>117345.44</v>
      </c>
      <c r="I232" s="18">
        <v>183323.68</v>
      </c>
      <c r="J232" s="18">
        <v>21507.5</v>
      </c>
      <c r="K232" s="18"/>
      <c r="L232" s="19">
        <f>SUM(F232:K232)</f>
        <v>8760934.7899999991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1903997.51</v>
      </c>
      <c r="G233" s="18">
        <v>983413.38</v>
      </c>
      <c r="H233" s="18">
        <v>2768335.44</v>
      </c>
      <c r="I233" s="18">
        <v>2016.23</v>
      </c>
      <c r="J233" s="18"/>
      <c r="K233" s="18"/>
      <c r="L233" s="19">
        <f>SUM(F233:K233)</f>
        <v>5657762.5600000005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39989.230000000003</v>
      </c>
      <c r="I234" s="18"/>
      <c r="J234" s="18"/>
      <c r="K234" s="18"/>
      <c r="L234" s="19">
        <f>SUM(F234:K234)</f>
        <v>39989.230000000003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327256.27</v>
      </c>
      <c r="G235" s="18">
        <v>169027.63</v>
      </c>
      <c r="H235" s="18">
        <v>71896.7</v>
      </c>
      <c r="I235" s="18">
        <v>76051.87</v>
      </c>
      <c r="J235" s="18"/>
      <c r="K235" s="18">
        <v>13449.35</v>
      </c>
      <c r="L235" s="19">
        <f>SUM(F235:K235)</f>
        <v>657681.81999999995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596822.48</v>
      </c>
      <c r="G237" s="18">
        <v>308258.39</v>
      </c>
      <c r="H237" s="18">
        <v>182722.48</v>
      </c>
      <c r="I237" s="18">
        <v>2252.91</v>
      </c>
      <c r="J237" s="18"/>
      <c r="K237" s="18"/>
      <c r="L237" s="19">
        <f t="shared" ref="L237:L243" si="4">SUM(F237:K237)</f>
        <v>1090056.26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267718.27</v>
      </c>
      <c r="G238" s="18">
        <v>225339.87</v>
      </c>
      <c r="H238" s="18">
        <v>4148.08</v>
      </c>
      <c r="I238" s="18">
        <v>44313.7</v>
      </c>
      <c r="J238" s="18">
        <v>19425.419999999998</v>
      </c>
      <c r="K238" s="18"/>
      <c r="L238" s="19">
        <f t="shared" si="4"/>
        <v>560945.34000000008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259928.82</v>
      </c>
      <c r="G239" s="18">
        <v>134253.04999999999</v>
      </c>
      <c r="H239" s="18">
        <v>83646.66</v>
      </c>
      <c r="I239" s="18">
        <v>8072.96</v>
      </c>
      <c r="J239" s="18">
        <v>3408.74</v>
      </c>
      <c r="K239" s="18">
        <v>6549.62</v>
      </c>
      <c r="L239" s="19">
        <f t="shared" si="4"/>
        <v>495859.85000000003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454277.57</v>
      </c>
      <c r="G240" s="18">
        <v>244555.28</v>
      </c>
      <c r="H240" s="18">
        <v>41769.4</v>
      </c>
      <c r="I240" s="18">
        <v>10176.44</v>
      </c>
      <c r="J240" s="18">
        <v>1500</v>
      </c>
      <c r="K240" s="18">
        <v>40802.97</v>
      </c>
      <c r="L240" s="19">
        <f t="shared" si="4"/>
        <v>793081.65999999992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114475.38</v>
      </c>
      <c r="G241" s="18">
        <v>59126.45</v>
      </c>
      <c r="H241" s="18">
        <v>44806.51</v>
      </c>
      <c r="I241" s="18"/>
      <c r="J241" s="18"/>
      <c r="K241" s="18">
        <v>2917.06</v>
      </c>
      <c r="L241" s="19">
        <f t="shared" si="4"/>
        <v>221325.40000000002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451155.17</v>
      </c>
      <c r="G242" s="18">
        <v>233021.33</v>
      </c>
      <c r="H242" s="18">
        <v>262753.65999999997</v>
      </c>
      <c r="I242" s="18">
        <v>364746.61</v>
      </c>
      <c r="J242" s="18">
        <v>3698.31</v>
      </c>
      <c r="K242" s="18"/>
      <c r="L242" s="19">
        <f t="shared" si="4"/>
        <v>1315375.08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16525.189999999999</v>
      </c>
      <c r="G243" s="18">
        <v>8535.25</v>
      </c>
      <c r="H243" s="18">
        <v>1237288.94</v>
      </c>
      <c r="I243" s="18"/>
      <c r="J243" s="18"/>
      <c r="K243" s="18"/>
      <c r="L243" s="19">
        <f t="shared" si="4"/>
        <v>1262349.3799999999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30959.38</v>
      </c>
      <c r="G244" s="18">
        <v>15990.5</v>
      </c>
      <c r="H244" s="18"/>
      <c r="I244" s="18"/>
      <c r="J244" s="18"/>
      <c r="K244" s="18"/>
      <c r="L244" s="19">
        <f>SUM(F244:K244)</f>
        <v>46949.880000000005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9987746.4800000023</v>
      </c>
      <c r="G246" s="41">
        <f t="shared" si="5"/>
        <v>5255648.8600000003</v>
      </c>
      <c r="H246" s="41">
        <f t="shared" si="5"/>
        <v>4854702.54</v>
      </c>
      <c r="I246" s="41">
        <f t="shared" si="5"/>
        <v>690954.4</v>
      </c>
      <c r="J246" s="41">
        <f t="shared" si="5"/>
        <v>49539.969999999994</v>
      </c>
      <c r="K246" s="41">
        <f t="shared" si="5"/>
        <v>63719</v>
      </c>
      <c r="L246" s="41">
        <f t="shared" si="5"/>
        <v>20902311.25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39608</v>
      </c>
      <c r="G250" s="18"/>
      <c r="H250" s="18"/>
      <c r="I250" s="18">
        <v>1049.6300000000001</v>
      </c>
      <c r="J250" s="18"/>
      <c r="K250" s="18"/>
      <c r="L250" s="19">
        <f t="shared" si="6"/>
        <v>40657.629999999997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1217439.71</v>
      </c>
      <c r="I254" s="18"/>
      <c r="J254" s="18"/>
      <c r="K254" s="18"/>
      <c r="L254" s="19">
        <f t="shared" si="6"/>
        <v>1217439.71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39608</v>
      </c>
      <c r="G255" s="41">
        <f t="shared" si="7"/>
        <v>0</v>
      </c>
      <c r="H255" s="41">
        <f t="shared" si="7"/>
        <v>1217439.71</v>
      </c>
      <c r="I255" s="41">
        <f t="shared" si="7"/>
        <v>1049.6300000000001</v>
      </c>
      <c r="J255" s="41">
        <f t="shared" si="7"/>
        <v>0</v>
      </c>
      <c r="K255" s="41">
        <f t="shared" si="7"/>
        <v>0</v>
      </c>
      <c r="L255" s="41">
        <f>SUM(F255:K255)</f>
        <v>1258097.3399999999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29511399.649999999</v>
      </c>
      <c r="G256" s="41">
        <f t="shared" si="8"/>
        <v>15641812.050000001</v>
      </c>
      <c r="H256" s="41">
        <f t="shared" si="8"/>
        <v>11004623.050000001</v>
      </c>
      <c r="I256" s="41">
        <f t="shared" si="8"/>
        <v>1958975.8199999998</v>
      </c>
      <c r="J256" s="41">
        <f t="shared" si="8"/>
        <v>796312.31</v>
      </c>
      <c r="K256" s="41">
        <f t="shared" si="8"/>
        <v>93903</v>
      </c>
      <c r="L256" s="41">
        <f t="shared" si="8"/>
        <v>59007025.88000001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1070000</v>
      </c>
      <c r="L259" s="19">
        <f>SUM(F259:K259)</f>
        <v>1070000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521867.5</v>
      </c>
      <c r="L260" s="19">
        <f>SUM(F260:K260)</f>
        <v>521867.5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1591867.5</v>
      </c>
      <c r="L269" s="41">
        <f t="shared" si="9"/>
        <v>1591867.5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29511399.649999999</v>
      </c>
      <c r="G270" s="42">
        <f t="shared" si="11"/>
        <v>15641812.050000001</v>
      </c>
      <c r="H270" s="42">
        <f t="shared" si="11"/>
        <v>11004623.050000001</v>
      </c>
      <c r="I270" s="42">
        <f t="shared" si="11"/>
        <v>1958975.8199999998</v>
      </c>
      <c r="J270" s="42">
        <f t="shared" si="11"/>
        <v>796312.31</v>
      </c>
      <c r="K270" s="42">
        <f t="shared" si="11"/>
        <v>1685770.5</v>
      </c>
      <c r="L270" s="42">
        <f t="shared" si="11"/>
        <v>60598893.38000001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150449.56-20000</f>
        <v>130449.56</v>
      </c>
      <c r="G275" s="18">
        <v>20000</v>
      </c>
      <c r="H275" s="18">
        <v>13906.63</v>
      </c>
      <c r="I275" s="18">
        <v>23201.87</v>
      </c>
      <c r="J275" s="18">
        <v>642.49</v>
      </c>
      <c r="K275" s="18"/>
      <c r="L275" s="19">
        <f>SUM(F275:K275)</f>
        <v>188200.55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>
        <v>289102.3</v>
      </c>
      <c r="I276" s="18"/>
      <c r="J276" s="18">
        <v>13036.79</v>
      </c>
      <c r="K276" s="18"/>
      <c r="L276" s="19">
        <f>SUM(F276:K276)</f>
        <v>302139.08999999997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33.85</v>
      </c>
      <c r="G280" s="18">
        <v>6.42</v>
      </c>
      <c r="H280" s="18"/>
      <c r="I280" s="18">
        <v>1689.15</v>
      </c>
      <c r="J280" s="18">
        <v>16.399999999999999</v>
      </c>
      <c r="K280" s="18"/>
      <c r="L280" s="19">
        <f t="shared" ref="L280:L286" si="12">SUM(F280:K280)</f>
        <v>1745.8200000000002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34277.67</v>
      </c>
      <c r="G281" s="18">
        <v>2197.89</v>
      </c>
      <c r="H281" s="18">
        <v>35626.120000000003</v>
      </c>
      <c r="I281" s="18">
        <v>10557.76</v>
      </c>
      <c r="J281" s="18">
        <v>7956.56</v>
      </c>
      <c r="K281" s="18"/>
      <c r="L281" s="19">
        <f t="shared" si="12"/>
        <v>90615.999999999985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33785.4</v>
      </c>
      <c r="G285" s="18">
        <v>17920.05</v>
      </c>
      <c r="H285" s="18">
        <v>8001.56</v>
      </c>
      <c r="I285" s="18">
        <v>71.47</v>
      </c>
      <c r="J285" s="18"/>
      <c r="K285" s="18"/>
      <c r="L285" s="19">
        <f t="shared" si="12"/>
        <v>59778.479999999996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198546.48</v>
      </c>
      <c r="G289" s="42">
        <f t="shared" si="13"/>
        <v>40124.36</v>
      </c>
      <c r="H289" s="42">
        <f t="shared" si="13"/>
        <v>346636.61</v>
      </c>
      <c r="I289" s="42">
        <f t="shared" si="13"/>
        <v>35520.25</v>
      </c>
      <c r="J289" s="42">
        <f t="shared" si="13"/>
        <v>21652.240000000002</v>
      </c>
      <c r="K289" s="42">
        <f t="shared" si="13"/>
        <v>0</v>
      </c>
      <c r="L289" s="41">
        <f t="shared" si="13"/>
        <v>642479.93999999994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>
        <v>142351.15</v>
      </c>
      <c r="I295" s="18"/>
      <c r="J295" s="18">
        <v>3837.34</v>
      </c>
      <c r="K295" s="18"/>
      <c r="L295" s="19">
        <f>SUM(F295:K295)</f>
        <v>146188.49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9.9700000000000006</v>
      </c>
      <c r="G299" s="18">
        <v>1.89</v>
      </c>
      <c r="H299" s="18"/>
      <c r="I299" s="18">
        <v>245.63</v>
      </c>
      <c r="J299" s="18">
        <v>4.83</v>
      </c>
      <c r="K299" s="18"/>
      <c r="L299" s="19">
        <f t="shared" ref="L299:L305" si="14">SUM(F299:K299)</f>
        <v>262.32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2291.4299999999998</v>
      </c>
      <c r="G300" s="18">
        <v>434.22</v>
      </c>
      <c r="H300" s="18">
        <v>8543.75</v>
      </c>
      <c r="I300" s="18">
        <v>748.85</v>
      </c>
      <c r="J300" s="18"/>
      <c r="K300" s="18"/>
      <c r="L300" s="19">
        <f t="shared" si="14"/>
        <v>12018.25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9944.6299999999992</v>
      </c>
      <c r="G304" s="18">
        <v>5274.71</v>
      </c>
      <c r="H304" s="18">
        <v>2355.23</v>
      </c>
      <c r="I304" s="18">
        <v>21.04</v>
      </c>
      <c r="J304" s="18"/>
      <c r="K304" s="18"/>
      <c r="L304" s="19">
        <f t="shared" si="14"/>
        <v>17595.61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12246.029999999999</v>
      </c>
      <c r="G308" s="42">
        <f t="shared" si="15"/>
        <v>5710.82</v>
      </c>
      <c r="H308" s="42">
        <f t="shared" si="15"/>
        <v>153250.13</v>
      </c>
      <c r="I308" s="42">
        <f t="shared" si="15"/>
        <v>1015.52</v>
      </c>
      <c r="J308" s="42">
        <f t="shared" si="15"/>
        <v>3842.17</v>
      </c>
      <c r="K308" s="42">
        <f t="shared" si="15"/>
        <v>0</v>
      </c>
      <c r="L308" s="41">
        <f t="shared" si="15"/>
        <v>176064.66999999998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>
        <f>846179.68-504287.02-2753.65-5785.07</f>
        <v>333353.94</v>
      </c>
      <c r="I314" s="18"/>
      <c r="J314" s="18"/>
      <c r="K314" s="18"/>
      <c r="L314" s="19">
        <f>SUM(F314:K314)</f>
        <v>333353.94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22.18</v>
      </c>
      <c r="G318" s="18">
        <v>4.2</v>
      </c>
      <c r="H318" s="18">
        <f>576.03+H322+34.49+50.34</f>
        <v>51743.999999999993</v>
      </c>
      <c r="I318" s="18">
        <v>546.55999999999995</v>
      </c>
      <c r="J318" s="18">
        <v>10.74</v>
      </c>
      <c r="K318" s="18"/>
      <c r="L318" s="19">
        <f t="shared" ref="L318:L324" si="16">SUM(F318:K318)</f>
        <v>52327.679999999986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5098.8</v>
      </c>
      <c r="G319" s="18">
        <v>966.22</v>
      </c>
      <c r="H319" s="18">
        <f>19011.26+9418.85</f>
        <v>28430.11</v>
      </c>
      <c r="I319" s="18">
        <v>1666.31</v>
      </c>
      <c r="J319" s="18"/>
      <c r="K319" s="18"/>
      <c r="L319" s="19">
        <f t="shared" si="16"/>
        <v>36161.440000000002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>
        <f>34.49+20.35+29.42+296.51+15425.95+1604+3824+31.42+29217+600</f>
        <v>51083.14</v>
      </c>
      <c r="I322" s="18"/>
      <c r="J322" s="18"/>
      <c r="K322" s="18"/>
      <c r="L322" s="19">
        <f t="shared" si="16"/>
        <v>51083.14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22128.45</v>
      </c>
      <c r="G323" s="18">
        <v>11737.1</v>
      </c>
      <c r="H323" s="18">
        <v>5240.78</v>
      </c>
      <c r="I323" s="18">
        <v>46.81</v>
      </c>
      <c r="J323" s="18"/>
      <c r="K323" s="18"/>
      <c r="L323" s="19">
        <f t="shared" si="16"/>
        <v>39153.14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27249.43</v>
      </c>
      <c r="G327" s="42">
        <f t="shared" si="17"/>
        <v>12707.52</v>
      </c>
      <c r="H327" s="42">
        <f t="shared" si="17"/>
        <v>469851.97000000003</v>
      </c>
      <c r="I327" s="42">
        <f t="shared" si="17"/>
        <v>2259.6799999999998</v>
      </c>
      <c r="J327" s="42">
        <f t="shared" si="17"/>
        <v>10.74</v>
      </c>
      <c r="K327" s="42">
        <f t="shared" si="17"/>
        <v>0</v>
      </c>
      <c r="L327" s="41">
        <f t="shared" si="17"/>
        <v>512079.34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4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24850</v>
      </c>
      <c r="G334" s="18"/>
      <c r="H334" s="18"/>
      <c r="I334" s="18"/>
      <c r="J334" s="18"/>
      <c r="K334" s="18"/>
      <c r="L334" s="19">
        <f>SUM(F334:K334)</f>
        <v>24850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24850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24850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262891.94</v>
      </c>
      <c r="G337" s="41">
        <f t="shared" si="20"/>
        <v>58542.7</v>
      </c>
      <c r="H337" s="41">
        <f t="shared" si="20"/>
        <v>969738.71</v>
      </c>
      <c r="I337" s="41">
        <f t="shared" si="20"/>
        <v>38795.449999999997</v>
      </c>
      <c r="J337" s="41">
        <f t="shared" si="20"/>
        <v>25505.150000000005</v>
      </c>
      <c r="K337" s="41">
        <f t="shared" si="20"/>
        <v>0</v>
      </c>
      <c r="L337" s="41">
        <f t="shared" si="20"/>
        <v>1355473.95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5785.07</v>
      </c>
      <c r="L343" s="19">
        <f t="shared" ref="L343:L349" si="21">SUM(F343:K343)</f>
        <v>5785.07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5785.07</v>
      </c>
      <c r="L350" s="41">
        <f>SUM(L340:L349)</f>
        <v>5785.07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262891.94</v>
      </c>
      <c r="G351" s="41">
        <f>G337</f>
        <v>58542.7</v>
      </c>
      <c r="H351" s="41">
        <f>H337</f>
        <v>969738.71</v>
      </c>
      <c r="I351" s="41">
        <f>I337</f>
        <v>38795.449999999997</v>
      </c>
      <c r="J351" s="41">
        <f>J337</f>
        <v>25505.150000000005</v>
      </c>
      <c r="K351" s="47">
        <f>K337+K350</f>
        <v>5785.07</v>
      </c>
      <c r="L351" s="41">
        <f>L337+L350</f>
        <v>1361259.02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246860.47</v>
      </c>
      <c r="G357" s="18"/>
      <c r="H357" s="18">
        <v>20580.5</v>
      </c>
      <c r="I357" s="18">
        <v>341991.61</v>
      </c>
      <c r="J357" s="18"/>
      <c r="K357" s="18">
        <v>844.87</v>
      </c>
      <c r="L357" s="13">
        <f>SUM(F357:K357)</f>
        <v>610277.44999999995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109941.77</v>
      </c>
      <c r="G358" s="18"/>
      <c r="H358" s="18">
        <v>6057.81</v>
      </c>
      <c r="I358" s="18">
        <v>100664.19</v>
      </c>
      <c r="J358" s="18"/>
      <c r="K358" s="18">
        <v>248.68</v>
      </c>
      <c r="L358" s="19">
        <f>SUM(F358:K358)</f>
        <v>216912.45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217651.86</v>
      </c>
      <c r="G359" s="18"/>
      <c r="H359" s="18">
        <v>13479.63</v>
      </c>
      <c r="I359" s="18">
        <v>223994.5</v>
      </c>
      <c r="J359" s="18"/>
      <c r="K359" s="18">
        <v>553.37</v>
      </c>
      <c r="L359" s="19">
        <f>SUM(F359:K359)</f>
        <v>455679.36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574454.1</v>
      </c>
      <c r="G361" s="47">
        <f t="shared" si="22"/>
        <v>0</v>
      </c>
      <c r="H361" s="47">
        <f t="shared" si="22"/>
        <v>40117.94</v>
      </c>
      <c r="I361" s="47">
        <f t="shared" si="22"/>
        <v>666650.30000000005</v>
      </c>
      <c r="J361" s="47">
        <f t="shared" si="22"/>
        <v>0</v>
      </c>
      <c r="K361" s="47">
        <f t="shared" si="22"/>
        <v>1646.92</v>
      </c>
      <c r="L361" s="47">
        <f t="shared" si="22"/>
        <v>1282869.2599999998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312724.5</v>
      </c>
      <c r="G366" s="18">
        <v>92049.51</v>
      </c>
      <c r="H366" s="18">
        <v>204825.4</v>
      </c>
      <c r="I366" s="56">
        <f>SUM(F366:H366)</f>
        <v>609599.41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29267.11</v>
      </c>
      <c r="G367" s="63">
        <v>8614.68</v>
      </c>
      <c r="H367" s="63">
        <v>19169.099999999999</v>
      </c>
      <c r="I367" s="56">
        <f>SUM(F367:H367)</f>
        <v>57050.89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341991.61</v>
      </c>
      <c r="G368" s="47">
        <f>SUM(G366:G367)</f>
        <v>100664.19</v>
      </c>
      <c r="H368" s="47">
        <f>SUM(H366:H367)</f>
        <v>223994.5</v>
      </c>
      <c r="I368" s="47">
        <f>SUM(I366:I367)</f>
        <v>666650.30000000005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-565.17999999999995</v>
      </c>
      <c r="I396" s="18"/>
      <c r="J396" s="24" t="s">
        <v>289</v>
      </c>
      <c r="K396" s="24" t="s">
        <v>289</v>
      </c>
      <c r="L396" s="56">
        <f t="shared" si="26"/>
        <v>-565.17999999999995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34.369999999999997</v>
      </c>
      <c r="I397" s="18"/>
      <c r="J397" s="24" t="s">
        <v>289</v>
      </c>
      <c r="K397" s="24" t="s">
        <v>289</v>
      </c>
      <c r="L397" s="56">
        <f t="shared" si="26"/>
        <v>34.369999999999997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-530.80999999999995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-530.80999999999995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-530.80999999999995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-530.80999999999995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65000</v>
      </c>
      <c r="I421" s="18"/>
      <c r="J421" s="18"/>
      <c r="K421" s="18"/>
      <c r="L421" s="56">
        <f t="shared" si="29"/>
        <v>65000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65000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65000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65000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65000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767410.04</v>
      </c>
      <c r="G438" s="18"/>
      <c r="H438" s="18"/>
      <c r="I438" s="56">
        <f t="shared" ref="I438:I444" si="33">SUM(F438:H438)</f>
        <v>767410.04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767410.04</v>
      </c>
      <c r="G445" s="13">
        <f>SUM(G438:G444)</f>
        <v>0</v>
      </c>
      <c r="H445" s="13">
        <f>SUM(H438:H444)</f>
        <v>0</v>
      </c>
      <c r="I445" s="13">
        <f>SUM(I438:I444)</f>
        <v>767410.04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767410.04</v>
      </c>
      <c r="G458" s="18"/>
      <c r="H458" s="18"/>
      <c r="I458" s="56">
        <f t="shared" si="34"/>
        <v>767410.04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767410.04</v>
      </c>
      <c r="G459" s="83">
        <f>SUM(G453:G458)</f>
        <v>0</v>
      </c>
      <c r="H459" s="83">
        <f>SUM(H453:H458)</f>
        <v>0</v>
      </c>
      <c r="I459" s="83">
        <f>SUM(I453:I458)</f>
        <v>767410.04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767410.04</v>
      </c>
      <c r="G460" s="42">
        <f>G451+G459</f>
        <v>0</v>
      </c>
      <c r="H460" s="42">
        <f>H451+H459</f>
        <v>0</v>
      </c>
      <c r="I460" s="42">
        <f>I451+I459</f>
        <v>767410.04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f>2160457.49-56593.83</f>
        <v>2103863.66</v>
      </c>
      <c r="G464" s="18">
        <v>52559.83</v>
      </c>
      <c r="H464" s="18">
        <v>-168053</v>
      </c>
      <c r="I464" s="18"/>
      <c r="J464" s="18">
        <f>788623.04+44317.81</f>
        <v>832940.85000000009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61724456.020000003</v>
      </c>
      <c r="G467" s="18">
        <v>1282869.26</v>
      </c>
      <c r="H467" s="18">
        <v>1554256.3</v>
      </c>
      <c r="I467" s="18"/>
      <c r="J467" s="18">
        <f>34.37+6550.06-7113.21-2.03</f>
        <v>-530.80999999999972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>
        <v>25298.58</v>
      </c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61724456.020000003</v>
      </c>
      <c r="G469" s="53">
        <f>SUM(G467:G468)</f>
        <v>1282869.26</v>
      </c>
      <c r="H469" s="53">
        <f>SUM(H467:H468)</f>
        <v>1579554.8800000001</v>
      </c>
      <c r="I469" s="53">
        <f>SUM(I467:I468)</f>
        <v>0</v>
      </c>
      <c r="J469" s="53">
        <f>SUM(J467:J468)</f>
        <v>-530.80999999999972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60598893.380000003</v>
      </c>
      <c r="G471" s="18">
        <v>1282869.26</v>
      </c>
      <c r="H471" s="18">
        <v>1361259.02</v>
      </c>
      <c r="I471" s="18"/>
      <c r="J471" s="18">
        <v>65000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60598893.380000003</v>
      </c>
      <c r="G473" s="53">
        <f>SUM(G471:G472)</f>
        <v>1282869.26</v>
      </c>
      <c r="H473" s="53">
        <f>SUM(H471:H472)</f>
        <v>1361259.02</v>
      </c>
      <c r="I473" s="53">
        <f>SUM(I471:I472)</f>
        <v>0</v>
      </c>
      <c r="J473" s="53">
        <f>SUM(J471:J472)</f>
        <v>65000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3229426.3000000045</v>
      </c>
      <c r="G475" s="53">
        <f>(G464+G469)- G473</f>
        <v>52559.830000000075</v>
      </c>
      <c r="H475" s="53">
        <f>(H464+H469)- H473</f>
        <v>50242.860000000102</v>
      </c>
      <c r="I475" s="53">
        <f>(I464+I469)- I473</f>
        <v>0</v>
      </c>
      <c r="J475" s="53">
        <f>(J464+J469)- J473</f>
        <v>767410.04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>
        <v>20</v>
      </c>
      <c r="H489" s="154">
        <v>20</v>
      </c>
      <c r="I489" s="154">
        <v>12</v>
      </c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 t="s">
        <v>910</v>
      </c>
      <c r="H490" s="155" t="s">
        <v>911</v>
      </c>
      <c r="I490" s="155" t="s">
        <v>912</v>
      </c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 t="s">
        <v>913</v>
      </c>
      <c r="H491" s="155" t="s">
        <v>914</v>
      </c>
      <c r="I491" s="155" t="s">
        <v>915</v>
      </c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>
        <v>5915851</v>
      </c>
      <c r="H492" s="18">
        <v>15525000</v>
      </c>
      <c r="I492" s="18">
        <v>3675816</v>
      </c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>
        <v>5.31</v>
      </c>
      <c r="H493" s="18">
        <v>3.52</v>
      </c>
      <c r="I493" s="18">
        <v>4.4800000000000004</v>
      </c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>
        <f>3245000-295000-295000</f>
        <v>2655000</v>
      </c>
      <c r="H494" s="18">
        <f>10850000-775000-775000</f>
        <v>9300000</v>
      </c>
      <c r="I494" s="18">
        <f>3147282.72-201903.98-201903.98</f>
        <v>2743474.7600000002</v>
      </c>
      <c r="J494" s="18"/>
      <c r="K494" s="53">
        <f>SUM(F494:J494)</f>
        <v>14698474.76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>
        <v>0</v>
      </c>
      <c r="H495" s="18">
        <v>0</v>
      </c>
      <c r="I495" s="18">
        <v>0</v>
      </c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>
        <v>295000</v>
      </c>
      <c r="H496" s="18">
        <v>775000</v>
      </c>
      <c r="I496" s="18">
        <v>201903.98</v>
      </c>
      <c r="J496" s="18"/>
      <c r="K496" s="53">
        <f t="shared" si="35"/>
        <v>1271903.98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>
        <f>2950000-295000-295000</f>
        <v>2360000</v>
      </c>
      <c r="H497" s="204">
        <f>10075000-775000-775000</f>
        <v>8525000</v>
      </c>
      <c r="I497" s="204">
        <f>2945378.74-201903.98</f>
        <v>2743474.7600000002</v>
      </c>
      <c r="J497" s="204"/>
      <c r="K497" s="205">
        <f t="shared" si="35"/>
        <v>13628474.76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>
        <f>711982.5-134668-134668</f>
        <v>442646.5</v>
      </c>
      <c r="H498" s="18">
        <f>2964375-406875-368725</f>
        <v>2188775</v>
      </c>
      <c r="I498" s="18">
        <f>735454.91-122054.17-111052</f>
        <v>502348.74</v>
      </c>
      <c r="J498" s="18"/>
      <c r="K498" s="53">
        <f t="shared" si="35"/>
        <v>3133770.24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2802646.5</v>
      </c>
      <c r="H499" s="42">
        <f>SUM(H497:H498)</f>
        <v>10713775</v>
      </c>
      <c r="I499" s="42">
        <f>SUM(I497:I498)</f>
        <v>3245823.5</v>
      </c>
      <c r="J499" s="42">
        <f>SUM(J497:J498)</f>
        <v>0</v>
      </c>
      <c r="K499" s="42">
        <f t="shared" si="35"/>
        <v>16762245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>
        <v>295000</v>
      </c>
      <c r="H500" s="204">
        <v>775000</v>
      </c>
      <c r="I500" s="204">
        <v>269244</v>
      </c>
      <c r="J500" s="204"/>
      <c r="K500" s="205">
        <f t="shared" si="35"/>
        <v>1339244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>
        <v>134667.5</v>
      </c>
      <c r="H501" s="18">
        <v>368725</v>
      </c>
      <c r="I501" s="18">
        <v>111052</v>
      </c>
      <c r="J501" s="18"/>
      <c r="K501" s="53">
        <f t="shared" si="35"/>
        <v>614444.5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429667.5</v>
      </c>
      <c r="H502" s="42">
        <f>SUM(H500:H501)</f>
        <v>1143725</v>
      </c>
      <c r="I502" s="42">
        <f>SUM(I500:I501)</f>
        <v>380296</v>
      </c>
      <c r="J502" s="42">
        <f>SUM(J500:J501)</f>
        <v>0</v>
      </c>
      <c r="K502" s="42">
        <f t="shared" si="35"/>
        <v>1953688.5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3955819.15</v>
      </c>
      <c r="G520" s="18">
        <v>2036940.75</v>
      </c>
      <c r="H520" s="18">
        <v>854768.41</v>
      </c>
      <c r="I520" s="18">
        <v>23742.15</v>
      </c>
      <c r="J520" s="18"/>
      <c r="K520" s="18"/>
      <c r="L520" s="88">
        <f>SUM(F520:K520)</f>
        <v>6871270.4600000009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1103479.1499999999</v>
      </c>
      <c r="G521" s="18">
        <v>528755.46</v>
      </c>
      <c r="H521" s="18">
        <v>605574.82999999996</v>
      </c>
      <c r="I521" s="18">
        <v>906.1</v>
      </c>
      <c r="J521" s="18"/>
      <c r="K521" s="18"/>
      <c r="L521" s="88">
        <f>SUM(F521:K521)</f>
        <v>2238715.54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1908997.51</v>
      </c>
      <c r="G522" s="18">
        <v>983413.38</v>
      </c>
      <c r="H522" s="18">
        <v>2768335.44</v>
      </c>
      <c r="I522" s="18">
        <v>2016.23</v>
      </c>
      <c r="J522" s="18"/>
      <c r="K522" s="18"/>
      <c r="L522" s="88">
        <f>SUM(F522:K522)</f>
        <v>5662762.5600000005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6968295.8099999996</v>
      </c>
      <c r="G523" s="108">
        <f t="shared" ref="G523:L523" si="36">SUM(G520:G522)</f>
        <v>3549109.59</v>
      </c>
      <c r="H523" s="108">
        <f t="shared" si="36"/>
        <v>4228678.68</v>
      </c>
      <c r="I523" s="108">
        <f t="shared" si="36"/>
        <v>26664.48</v>
      </c>
      <c r="J523" s="108">
        <f t="shared" si="36"/>
        <v>0</v>
      </c>
      <c r="K523" s="108">
        <f t="shared" si="36"/>
        <v>0</v>
      </c>
      <c r="L523" s="89">
        <f t="shared" si="36"/>
        <v>14772748.560000001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272">
        <v>680821.68</v>
      </c>
      <c r="I525" s="18"/>
      <c r="J525" s="18"/>
      <c r="K525" s="18"/>
      <c r="L525" s="88">
        <f>SUM(F525:K525)</f>
        <v>680821.68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272">
        <v>370777.02</v>
      </c>
      <c r="I526" s="18"/>
      <c r="J526" s="18"/>
      <c r="K526" s="18"/>
      <c r="L526" s="88">
        <f>SUM(F526:K526)</f>
        <v>370777.02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272">
        <v>547806.59</v>
      </c>
      <c r="I527" s="18"/>
      <c r="J527" s="18"/>
      <c r="K527" s="18"/>
      <c r="L527" s="88">
        <f>SUM(F527:K527)</f>
        <v>547806.59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1599405.29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1599405.29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89845</v>
      </c>
      <c r="G530" s="18">
        <v>25000</v>
      </c>
      <c r="H530" s="18">
        <v>6755</v>
      </c>
      <c r="I530" s="18">
        <v>1263</v>
      </c>
      <c r="J530" s="18"/>
      <c r="K530" s="18"/>
      <c r="L530" s="88">
        <f>SUM(F530:K530)</f>
        <v>122863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39935</v>
      </c>
      <c r="G531" s="18">
        <v>15000</v>
      </c>
      <c r="H531" s="18">
        <v>3002</v>
      </c>
      <c r="I531" s="18">
        <v>1345</v>
      </c>
      <c r="J531" s="18"/>
      <c r="K531" s="18"/>
      <c r="L531" s="88">
        <f>SUM(F531:K531)</f>
        <v>59282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69886</v>
      </c>
      <c r="G532" s="18">
        <v>10000</v>
      </c>
      <c r="H532" s="18">
        <v>5251</v>
      </c>
      <c r="I532" s="18">
        <v>1258</v>
      </c>
      <c r="J532" s="18"/>
      <c r="K532" s="18"/>
      <c r="L532" s="88">
        <f>SUM(F532:K532)</f>
        <v>86395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199666</v>
      </c>
      <c r="G533" s="89">
        <f t="shared" ref="G533:L533" si="38">SUM(G530:G532)</f>
        <v>50000</v>
      </c>
      <c r="H533" s="89">
        <f t="shared" si="38"/>
        <v>15008</v>
      </c>
      <c r="I533" s="89">
        <f t="shared" si="38"/>
        <v>3866</v>
      </c>
      <c r="J533" s="89">
        <f t="shared" si="38"/>
        <v>0</v>
      </c>
      <c r="K533" s="89">
        <f t="shared" si="38"/>
        <v>0</v>
      </c>
      <c r="L533" s="89">
        <f t="shared" si="38"/>
        <v>268540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5623</v>
      </c>
      <c r="I535" s="18"/>
      <c r="J535" s="18"/>
      <c r="K535" s="18"/>
      <c r="L535" s="88">
        <f>SUM(F535:K535)</f>
        <v>5623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1250</v>
      </c>
      <c r="I536" s="18"/>
      <c r="J536" s="18"/>
      <c r="K536" s="18"/>
      <c r="L536" s="88">
        <f>SUM(F536:K536)</f>
        <v>1250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3621</v>
      </c>
      <c r="I537" s="18"/>
      <c r="J537" s="18"/>
      <c r="K537" s="18"/>
      <c r="L537" s="88">
        <f>SUM(F537:K537)</f>
        <v>3621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10494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10494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273">
        <v>349723.43</v>
      </c>
      <c r="I540" s="18"/>
      <c r="J540" s="18"/>
      <c r="K540" s="18"/>
      <c r="L540" s="88">
        <f>SUM(F540:K540)</f>
        <v>349723.43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273">
        <v>116299.15</v>
      </c>
      <c r="I541" s="18"/>
      <c r="J541" s="18"/>
      <c r="K541" s="18"/>
      <c r="L541" s="88">
        <f>SUM(F541:K541)</f>
        <v>116299.15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273">
        <v>389503.44</v>
      </c>
      <c r="I542" s="18"/>
      <c r="J542" s="18"/>
      <c r="K542" s="18"/>
      <c r="L542" s="88">
        <f>SUM(F542:K542)</f>
        <v>389503.44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855526.02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855526.02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7167961.8099999996</v>
      </c>
      <c r="G544" s="89">
        <f t="shared" ref="G544:L544" si="41">G523+G528+G533+G538+G543</f>
        <v>3599109.59</v>
      </c>
      <c r="H544" s="89">
        <f t="shared" si="41"/>
        <v>6709111.9900000002</v>
      </c>
      <c r="I544" s="89">
        <f t="shared" si="41"/>
        <v>30530.48</v>
      </c>
      <c r="J544" s="89">
        <f t="shared" si="41"/>
        <v>0</v>
      </c>
      <c r="K544" s="89">
        <f t="shared" si="41"/>
        <v>0</v>
      </c>
      <c r="L544" s="89">
        <f t="shared" si="41"/>
        <v>17506713.870000001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6871270.4600000009</v>
      </c>
      <c r="G548" s="87">
        <f>L525</f>
        <v>680821.68</v>
      </c>
      <c r="H548" s="87">
        <f>L530</f>
        <v>122863</v>
      </c>
      <c r="I548" s="87">
        <f>L535</f>
        <v>5623</v>
      </c>
      <c r="J548" s="87">
        <f>L540</f>
        <v>349723.43</v>
      </c>
      <c r="K548" s="87">
        <f>SUM(F548:J548)</f>
        <v>8030301.5700000003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2238715.54</v>
      </c>
      <c r="G549" s="87">
        <f>L526</f>
        <v>370777.02</v>
      </c>
      <c r="H549" s="87">
        <f>L531</f>
        <v>59282</v>
      </c>
      <c r="I549" s="87">
        <f>L536</f>
        <v>1250</v>
      </c>
      <c r="J549" s="87">
        <f>L541</f>
        <v>116299.15</v>
      </c>
      <c r="K549" s="87">
        <f>SUM(F549:J549)</f>
        <v>2786323.71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5662762.5600000005</v>
      </c>
      <c r="G550" s="87">
        <f>L527</f>
        <v>547806.59</v>
      </c>
      <c r="H550" s="87">
        <f>L532</f>
        <v>86395</v>
      </c>
      <c r="I550" s="87">
        <f>L537</f>
        <v>3621</v>
      </c>
      <c r="J550" s="87">
        <f>L542</f>
        <v>389503.44</v>
      </c>
      <c r="K550" s="87">
        <f>SUM(F550:J550)</f>
        <v>6690088.5900000008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14772748.560000001</v>
      </c>
      <c r="G551" s="89">
        <f t="shared" si="42"/>
        <v>1599405.29</v>
      </c>
      <c r="H551" s="89">
        <f t="shared" si="42"/>
        <v>268540</v>
      </c>
      <c r="I551" s="89">
        <f t="shared" si="42"/>
        <v>10494</v>
      </c>
      <c r="J551" s="89">
        <f t="shared" si="42"/>
        <v>855526.02</v>
      </c>
      <c r="K551" s="89">
        <f t="shared" si="42"/>
        <v>17506713.870000001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56236</v>
      </c>
      <c r="G566" s="18">
        <v>15333</v>
      </c>
      <c r="H566" s="18">
        <v>500</v>
      </c>
      <c r="I566" s="18"/>
      <c r="J566" s="18"/>
      <c r="K566" s="18"/>
      <c r="L566" s="88">
        <f>SUM(F566:K566)</f>
        <v>72069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32665</v>
      </c>
      <c r="G567" s="18">
        <v>14256</v>
      </c>
      <c r="H567" s="18">
        <v>750</v>
      </c>
      <c r="I567" s="18"/>
      <c r="J567" s="18"/>
      <c r="K567" s="18"/>
      <c r="L567" s="88">
        <f>SUM(F567:K567)</f>
        <v>47671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15886</v>
      </c>
      <c r="G568" s="18">
        <v>5023</v>
      </c>
      <c r="H568" s="18">
        <v>851</v>
      </c>
      <c r="I568" s="18"/>
      <c r="J568" s="18"/>
      <c r="K568" s="18"/>
      <c r="L568" s="88">
        <f>SUM(F568:K568)</f>
        <v>21760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104787</v>
      </c>
      <c r="G569" s="193">
        <f t="shared" ref="G569:L569" si="45">SUM(G566:G568)</f>
        <v>34612</v>
      </c>
      <c r="H569" s="193">
        <f t="shared" si="45"/>
        <v>2101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141500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104787</v>
      </c>
      <c r="G570" s="89">
        <f t="shared" ref="G570:L570" si="46">G559+G564+G569</f>
        <v>34612</v>
      </c>
      <c r="H570" s="89">
        <f t="shared" si="46"/>
        <v>2101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141500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99288.72</v>
      </c>
      <c r="G578" s="18">
        <v>241979.57</v>
      </c>
      <c r="H578" s="18">
        <v>1517240.93</v>
      </c>
      <c r="I578" s="87">
        <f t="shared" si="47"/>
        <v>1858509.22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387864</v>
      </c>
      <c r="G579" s="18">
        <v>255273.22</v>
      </c>
      <c r="H579" s="18">
        <v>999568.53</v>
      </c>
      <c r="I579" s="87">
        <f t="shared" si="47"/>
        <v>1642705.75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101673.25</v>
      </c>
      <c r="I583" s="87">
        <f t="shared" si="47"/>
        <v>101673.25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274">
        <v>1081246.81</v>
      </c>
      <c r="I590" s="274">
        <v>214900.58999999997</v>
      </c>
      <c r="J590" s="274">
        <v>771172.69</v>
      </c>
      <c r="K590" s="104">
        <f t="shared" ref="K590:K596" si="48">SUM(H590:J590)</f>
        <v>2067320.0899999999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274">
        <v>349723.43</v>
      </c>
      <c r="I591" s="274">
        <v>116299.15000000001</v>
      </c>
      <c r="J591" s="274">
        <v>389503.44</v>
      </c>
      <c r="K591" s="104">
        <f t="shared" si="48"/>
        <v>855526.02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274"/>
      <c r="I592" s="274"/>
      <c r="J592" s="274">
        <v>101673.25</v>
      </c>
      <c r="K592" s="104">
        <f t="shared" si="48"/>
        <v>101673.25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274"/>
      <c r="I593" s="274">
        <v>78698.95</v>
      </c>
      <c r="J593" s="274"/>
      <c r="K593" s="104">
        <f t="shared" si="48"/>
        <v>78698.95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274">
        <v>30823.63</v>
      </c>
      <c r="I594" s="274">
        <v>975.75</v>
      </c>
      <c r="J594" s="274"/>
      <c r="K594" s="104">
        <f t="shared" si="48"/>
        <v>31799.38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274"/>
      <c r="I595" s="274">
        <v>21445.41</v>
      </c>
      <c r="J595" s="274"/>
      <c r="K595" s="104">
        <f t="shared" si="48"/>
        <v>21445.41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1461793.8699999999</v>
      </c>
      <c r="I597" s="108">
        <f>SUM(I590:I596)</f>
        <v>432319.85</v>
      </c>
      <c r="J597" s="108">
        <f>SUM(J590:J596)</f>
        <v>1262349.3799999999</v>
      </c>
      <c r="K597" s="108">
        <f>SUM(K590:K596)</f>
        <v>3156463.1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821817.46</v>
      </c>
      <c r="I601" s="18"/>
      <c r="J601" s="18"/>
      <c r="K601" s="104">
        <f>SUM(H601:J601)</f>
        <v>821817.46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821817.46</v>
      </c>
      <c r="I604" s="108">
        <f>SUM(I601:I603)</f>
        <v>0</v>
      </c>
      <c r="J604" s="108">
        <f>SUM(J601:J603)</f>
        <v>0</v>
      </c>
      <c r="K604" s="108">
        <f>SUM(K601:K603)</f>
        <v>821817.46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25652</v>
      </c>
      <c r="G610" s="18">
        <v>2563</v>
      </c>
      <c r="H610" s="18">
        <v>4000</v>
      </c>
      <c r="I610" s="18"/>
      <c r="J610" s="18"/>
      <c r="K610" s="18"/>
      <c r="L610" s="88">
        <f>SUM(F610:K610)</f>
        <v>32215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25652</v>
      </c>
      <c r="G613" s="108">
        <f t="shared" si="49"/>
        <v>2563</v>
      </c>
      <c r="H613" s="108">
        <f t="shared" si="49"/>
        <v>4000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32215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3286020.1299999994</v>
      </c>
      <c r="H616" s="109">
        <f>SUM(F51)</f>
        <v>3286020.13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52559.83</v>
      </c>
      <c r="H617" s="109">
        <f>SUM(G51)</f>
        <v>52559.83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50242.859999999986</v>
      </c>
      <c r="H618" s="109">
        <f>SUM(H51)</f>
        <v>50242.860000000015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767410.04</v>
      </c>
      <c r="H620" s="109">
        <f>SUM(J51)</f>
        <v>767410.04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3229426.3</v>
      </c>
      <c r="H621" s="109">
        <f>F475</f>
        <v>3229426.3000000045</v>
      </c>
      <c r="I621" s="121" t="s">
        <v>101</v>
      </c>
      <c r="J621" s="109">
        <f t="shared" ref="J621:J654" si="50">G621-H621</f>
        <v>-4.6566128730773926E-9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52559.83</v>
      </c>
      <c r="H622" s="109">
        <f>G475</f>
        <v>52559.830000000075</v>
      </c>
      <c r="I622" s="121" t="s">
        <v>102</v>
      </c>
      <c r="J622" s="109">
        <f t="shared" si="50"/>
        <v>-7.2759576141834259E-11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50242.860000000015</v>
      </c>
      <c r="H623" s="109">
        <f>H475</f>
        <v>50242.860000000102</v>
      </c>
      <c r="I623" s="121" t="s">
        <v>103</v>
      </c>
      <c r="J623" s="109">
        <f t="shared" si="50"/>
        <v>-8.7311491370201111E-11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767410.04</v>
      </c>
      <c r="H625" s="109">
        <f>J475</f>
        <v>767410.04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61724456.017999992</v>
      </c>
      <c r="H626" s="104">
        <f>SUM(F467)</f>
        <v>61724456.020000003</v>
      </c>
      <c r="I626" s="140" t="s">
        <v>106</v>
      </c>
      <c r="J626" s="109">
        <f>G626-H626</f>
        <v>-2.0000115036964417E-3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1282869.26</v>
      </c>
      <c r="H627" s="104">
        <f>SUM(G467)</f>
        <v>1282869.26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1554256.3</v>
      </c>
      <c r="H628" s="104">
        <f>SUM(H467)</f>
        <v>1554256.3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-530.80999999999995</v>
      </c>
      <c r="H630" s="104">
        <f>SUM(J467)</f>
        <v>-530.80999999999972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60598893.38000001</v>
      </c>
      <c r="H631" s="104">
        <f>SUM(F471)</f>
        <v>60598893.380000003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1361259.02</v>
      </c>
      <c r="H632" s="104">
        <f>SUM(H471)</f>
        <v>1361259.02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666650.30000000005</v>
      </c>
      <c r="H633" s="104">
        <f>I368</f>
        <v>666650.30000000005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1282869.2599999998</v>
      </c>
      <c r="H634" s="104">
        <f>SUM(G471)</f>
        <v>1282869.26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-530.80999999999995</v>
      </c>
      <c r="H636" s="164">
        <f>SUM(J467)</f>
        <v>-530.80999999999972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65000</v>
      </c>
      <c r="H637" s="164">
        <f>SUM(J471)</f>
        <v>65000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767410.04</v>
      </c>
      <c r="H638" s="104">
        <f>SUM(F460)</f>
        <v>767410.04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767410.04</v>
      </c>
      <c r="H641" s="104">
        <f>SUM(I460)</f>
        <v>767410.04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-530.80999999999995</v>
      </c>
      <c r="H643" s="104">
        <f>H407</f>
        <v>-530.80999999999995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-530.80999999999995</v>
      </c>
      <c r="H645" s="104">
        <f>L407</f>
        <v>-530.80999999999995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3156463.1</v>
      </c>
      <c r="H646" s="104">
        <f>L207+L225+L243</f>
        <v>3156463.0999999996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821817.46</v>
      </c>
      <c r="H647" s="104">
        <f>(J256+J337)-(J254+J335)</f>
        <v>821817.46000000008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1461793.8699999999</v>
      </c>
      <c r="H648" s="104">
        <f>H597</f>
        <v>1461793.8699999999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432319.85000000003</v>
      </c>
      <c r="H649" s="104">
        <f>I597</f>
        <v>432319.85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1262349.3799999999</v>
      </c>
      <c r="H650" s="104">
        <f>J597</f>
        <v>1262349.3799999999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-2.0000338554382324E-3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29109861.120000005</v>
      </c>
      <c r="G659" s="19">
        <f>(L228+L308+L358)</f>
        <v>9382490.6799999997</v>
      </c>
      <c r="H659" s="19">
        <f>(L246+L327+L359)</f>
        <v>21870069.949999999</v>
      </c>
      <c r="I659" s="19">
        <f>SUM(F659:H659)</f>
        <v>60362421.75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493485.56715295842</v>
      </c>
      <c r="G660" s="19">
        <f>(L358/IF(SUM(L357:L359)=0,1,SUM(L357:L359))*(SUM(G96:G109)))</f>
        <v>175400.81713782437</v>
      </c>
      <c r="H660" s="19">
        <f>(L359/IF(SUM(L357:L359)=0,1,SUM(L357:L359))*(SUM(G96:G109)))</f>
        <v>368473.69570921734</v>
      </c>
      <c r="I660" s="19">
        <f>SUM(F660:H660)</f>
        <v>1037360.0800000001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1461793.8699999999</v>
      </c>
      <c r="G661" s="19">
        <f>(L225+L305)-(J225+J305)</f>
        <v>432319.85000000003</v>
      </c>
      <c r="H661" s="19">
        <f>(L243+L324)-(J243+J324)</f>
        <v>1262349.3799999999</v>
      </c>
      <c r="I661" s="19">
        <f>SUM(F661:H661)</f>
        <v>3156463.0999999996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1341185.18</v>
      </c>
      <c r="G662" s="199">
        <f>SUM(G574:G586)+SUM(I601:I603)+L611</f>
        <v>497252.79000000004</v>
      </c>
      <c r="H662" s="199">
        <f>SUM(H574:H586)+SUM(J601:J603)+L612</f>
        <v>2618482.71</v>
      </c>
      <c r="I662" s="19">
        <f>SUM(F662:H662)</f>
        <v>4456920.68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25813396.502847046</v>
      </c>
      <c r="G663" s="19">
        <f>G659-SUM(G660:G662)</f>
        <v>8277517.2228621747</v>
      </c>
      <c r="H663" s="19">
        <f>H659-SUM(H660:H662)</f>
        <v>17620764.164290782</v>
      </c>
      <c r="I663" s="19">
        <f>I659-SUM(I660:I662)</f>
        <v>51711677.890000001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1889.99</v>
      </c>
      <c r="G664" s="248">
        <v>606.16</v>
      </c>
      <c r="H664" s="248">
        <v>1365.59</v>
      </c>
      <c r="I664" s="19">
        <f>SUM(F664:H664)</f>
        <v>3861.74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13657.95</v>
      </c>
      <c r="G666" s="19">
        <f>ROUND(G663/G664,2)</f>
        <v>13655.66</v>
      </c>
      <c r="H666" s="19">
        <f>ROUND(H663/H664,2)</f>
        <v>12903.41</v>
      </c>
      <c r="I666" s="19">
        <f>ROUND(I663/I664,2)</f>
        <v>13390.77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-14.2</v>
      </c>
      <c r="I669" s="19">
        <f>SUM(F669:H669)</f>
        <v>-14.2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13657.95</v>
      </c>
      <c r="G671" s="19">
        <f>ROUND((G663+G668)/(G664+G669),2)</f>
        <v>13655.66</v>
      </c>
      <c r="H671" s="19">
        <f>ROUND((H663+H668)/(H664+H669),2)</f>
        <v>13038.99</v>
      </c>
      <c r="I671" s="19">
        <f>ROUND((I663+I668)/(I664+I669),2)</f>
        <v>13440.19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25" right="0" top="0.75" bottom="0.75" header="0.3" footer="0.3"/>
  <pageSetup scale="71" fitToHeight="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6383" man="1"/>
    <brk id="78" max="16383" man="1"/>
    <brk id="111" max="16383" man="1"/>
    <brk id="139" max="16383" man="1"/>
    <brk id="168" max="16383" man="1"/>
    <brk id="192" max="16383" man="1"/>
    <brk id="210" max="16383" man="1"/>
    <brk id="228" max="16383" man="1"/>
    <brk id="246" max="16383" man="1"/>
    <brk id="270" max="16383" man="1"/>
    <brk id="289" max="16383" man="1"/>
    <brk id="308" max="16383" man="1"/>
    <brk id="327" max="16383" man="1"/>
    <brk id="351" max="16383" man="1"/>
    <brk id="381" max="16383" man="1"/>
    <brk id="407" max="16383" man="1"/>
    <brk id="433" max="16383" man="1"/>
    <brk id="460" max="16383" man="1"/>
    <brk id="484" max="16383" man="1"/>
    <brk id="516" max="16383" man="1"/>
    <brk id="551" max="16383" man="1"/>
    <brk id="587" max="16383" man="1"/>
    <brk id="614" max="16383" man="1"/>
    <brk id="655" max="16383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Merrimack School Ddistrict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15081113.160000002</v>
      </c>
      <c r="C9" s="229">
        <f>'DOE25'!G196+'DOE25'!G214+'DOE25'!G232+'DOE25'!G275+'DOE25'!G294+'DOE25'!G313</f>
        <v>7636922.3300000001</v>
      </c>
    </row>
    <row r="10" spans="1:3" x14ac:dyDescent="0.2">
      <c r="A10" t="s">
        <v>779</v>
      </c>
      <c r="B10" s="18">
        <v>13379563</v>
      </c>
      <c r="C10" s="240">
        <v>5632899</v>
      </c>
    </row>
    <row r="11" spans="1:3" x14ac:dyDescent="0.2">
      <c r="A11" t="s">
        <v>780</v>
      </c>
      <c r="B11" s="240">
        <v>65123</v>
      </c>
      <c r="C11" s="240">
        <v>25326</v>
      </c>
    </row>
    <row r="12" spans="1:3" x14ac:dyDescent="0.2">
      <c r="A12" t="s">
        <v>781</v>
      </c>
      <c r="B12" s="240">
        <v>1636427.16</v>
      </c>
      <c r="C12" s="240">
        <v>1978697.33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15081113.16</v>
      </c>
      <c r="C13" s="231">
        <f>SUM(C10:C12)</f>
        <v>7636922.3300000001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6963295.8099999996</v>
      </c>
      <c r="C18" s="229">
        <f>'DOE25'!G197+'DOE25'!G215+'DOE25'!G233+'DOE25'!G276+'DOE25'!G295+'DOE25'!G314</f>
        <v>3549109.59</v>
      </c>
    </row>
    <row r="19" spans="1:3" x14ac:dyDescent="0.2">
      <c r="A19" t="s">
        <v>779</v>
      </c>
      <c r="B19" s="240">
        <v>5684235</v>
      </c>
      <c r="C19" s="240">
        <v>2456321</v>
      </c>
    </row>
    <row r="20" spans="1:3" x14ac:dyDescent="0.2">
      <c r="A20" t="s">
        <v>780</v>
      </c>
      <c r="B20" s="240">
        <v>1279060.81</v>
      </c>
      <c r="C20" s="240">
        <v>1092788.5900000001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6963295.8100000005</v>
      </c>
      <c r="C22" s="231">
        <f>SUM(C19:C21)</f>
        <v>3549109.59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366430.27</v>
      </c>
      <c r="C36" s="235">
        <f>'DOE25'!G199+'DOE25'!G217+'DOE25'!G235+'DOE25'!G278+'DOE25'!G297+'DOE25'!G316</f>
        <v>187798.68</v>
      </c>
    </row>
    <row r="37" spans="1:3" x14ac:dyDescent="0.2">
      <c r="A37" t="s">
        <v>779</v>
      </c>
      <c r="B37" s="240">
        <v>366430.27</v>
      </c>
      <c r="C37" s="240">
        <v>187798.68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366430.27</v>
      </c>
      <c r="C40" s="231">
        <f>SUM(C37:C39)</f>
        <v>187798.68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opLeftCell="B1"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Merrimack School Ddistrict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38887952.93</v>
      </c>
      <c r="D5" s="20">
        <f>SUM('DOE25'!L196:L199)+SUM('DOE25'!L214:L217)+SUM('DOE25'!L232:L235)-F5-G5</f>
        <v>38814051.769999996</v>
      </c>
      <c r="E5" s="243"/>
      <c r="F5" s="255">
        <f>SUM('DOE25'!J196:J199)+SUM('DOE25'!J214:J217)+SUM('DOE25'!J232:J235)</f>
        <v>60451.810000000005</v>
      </c>
      <c r="G5" s="53">
        <f>SUM('DOE25'!K196:K199)+SUM('DOE25'!K214:K217)+SUM('DOE25'!K232:K235)</f>
        <v>13449.35</v>
      </c>
      <c r="H5" s="259"/>
    </row>
    <row r="6" spans="1:9" x14ac:dyDescent="0.2">
      <c r="A6" s="32">
        <v>2100</v>
      </c>
      <c r="B6" t="s">
        <v>801</v>
      </c>
      <c r="C6" s="245">
        <f t="shared" si="0"/>
        <v>4533198.83</v>
      </c>
      <c r="D6" s="20">
        <f>'DOE25'!L201+'DOE25'!L219+'DOE25'!L237-F6-G6</f>
        <v>4533198.83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1664344.64</v>
      </c>
      <c r="D7" s="20">
        <f>'DOE25'!L202+'DOE25'!L220+'DOE25'!L238-F7-G7</f>
        <v>1606530.89</v>
      </c>
      <c r="E7" s="243"/>
      <c r="F7" s="255">
        <f>'DOE25'!J202+'DOE25'!J220+'DOE25'!J238</f>
        <v>57813.75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630714.82000000041</v>
      </c>
      <c r="D8" s="243"/>
      <c r="E8" s="20">
        <f>'DOE25'!L203+'DOE25'!L221+'DOE25'!L239-F8-G8-D9-D11</f>
        <v>601076.83000000031</v>
      </c>
      <c r="F8" s="255">
        <f>'DOE25'!J203+'DOE25'!J221+'DOE25'!J239</f>
        <v>10145.06</v>
      </c>
      <c r="G8" s="53">
        <f>'DOE25'!K203+'DOE25'!K221+'DOE25'!K239</f>
        <v>19492.93</v>
      </c>
      <c r="H8" s="259"/>
    </row>
    <row r="9" spans="1:9" x14ac:dyDescent="0.2">
      <c r="A9" s="32">
        <v>2310</v>
      </c>
      <c r="B9" t="s">
        <v>818</v>
      </c>
      <c r="C9" s="245">
        <f t="shared" si="0"/>
        <v>105100.68</v>
      </c>
      <c r="D9" s="244">
        <v>105100.68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22000</v>
      </c>
      <c r="D10" s="243"/>
      <c r="E10" s="244">
        <v>22000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734971.75</v>
      </c>
      <c r="D11" s="244">
        <v>734971.75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2919637.0999999996</v>
      </c>
      <c r="D12" s="20">
        <f>'DOE25'!L204+'DOE25'!L222+'DOE25'!L240-F12-G12</f>
        <v>2860462.3199999994</v>
      </c>
      <c r="E12" s="243"/>
      <c r="F12" s="255">
        <f>'DOE25'!J204+'DOE25'!J222+'DOE25'!J240</f>
        <v>6894.8099999999995</v>
      </c>
      <c r="G12" s="53">
        <f>'DOE25'!K204+'DOE25'!K222+'DOE25'!K240</f>
        <v>52279.97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596101.02</v>
      </c>
      <c r="D13" s="243"/>
      <c r="E13" s="20">
        <f>'DOE25'!L205+'DOE25'!L223+'DOE25'!L241-F13-G13</f>
        <v>587420.27</v>
      </c>
      <c r="F13" s="255">
        <f>'DOE25'!J205+'DOE25'!J223+'DOE25'!J241</f>
        <v>0</v>
      </c>
      <c r="G13" s="53">
        <f>'DOE25'!K205+'DOE25'!K223+'DOE25'!K241</f>
        <v>8680.75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4381305.790000001</v>
      </c>
      <c r="D14" s="20">
        <f>'DOE25'!L206+'DOE25'!L224+'DOE25'!L242-F14-G14</f>
        <v>3720298.9100000011</v>
      </c>
      <c r="E14" s="243"/>
      <c r="F14" s="255">
        <f>'DOE25'!J206+'DOE25'!J224+'DOE25'!J242</f>
        <v>661006.88000000012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3156463.0999999996</v>
      </c>
      <c r="D15" s="20">
        <f>'DOE25'!L207+'DOE25'!L225+'DOE25'!L243-F15-G15</f>
        <v>3156463.0999999996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139137.88</v>
      </c>
      <c r="D16" s="243"/>
      <c r="E16" s="20">
        <f>'DOE25'!L208+'DOE25'!L226+'DOE25'!L244-F16-G16</f>
        <v>139137.88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40657.629999999997</v>
      </c>
      <c r="D17" s="20">
        <f>'DOE25'!L250-F17-G17</f>
        <v>40657.629999999997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1217439.71</v>
      </c>
      <c r="D22" s="243"/>
      <c r="E22" s="243"/>
      <c r="F22" s="255">
        <f>'DOE25'!L254+'DOE25'!L335</f>
        <v>1217439.71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1591867.5</v>
      </c>
      <c r="D25" s="243"/>
      <c r="E25" s="243"/>
      <c r="F25" s="258"/>
      <c r="G25" s="256"/>
      <c r="H25" s="257">
        <f>'DOE25'!L259+'DOE25'!L260+'DOE25'!L340+'DOE25'!L341</f>
        <v>1591867.5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673269.84999999974</v>
      </c>
      <c r="D29" s="20">
        <f>'DOE25'!L357+'DOE25'!L358+'DOE25'!L359-'DOE25'!I366-F29-G29</f>
        <v>671622.9299999997</v>
      </c>
      <c r="E29" s="243"/>
      <c r="F29" s="255">
        <f>'DOE25'!J357+'DOE25'!J358+'DOE25'!J359</f>
        <v>0</v>
      </c>
      <c r="G29" s="53">
        <f>'DOE25'!K357+'DOE25'!K358+'DOE25'!K359</f>
        <v>1646.92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1355473.95</v>
      </c>
      <c r="D31" s="20">
        <f>'DOE25'!L289+'DOE25'!L308+'DOE25'!L327+'DOE25'!L332+'DOE25'!L333+'DOE25'!L334-F31-G31</f>
        <v>1329968.8</v>
      </c>
      <c r="E31" s="243"/>
      <c r="F31" s="255">
        <f>'DOE25'!J289+'DOE25'!J308+'DOE25'!J327+'DOE25'!J332+'DOE25'!J333+'DOE25'!J334</f>
        <v>25505.150000000005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57573327.609999999</v>
      </c>
      <c r="E33" s="246">
        <f>SUM(E5:E31)</f>
        <v>1349634.9800000004</v>
      </c>
      <c r="F33" s="246">
        <f>SUM(F5:F31)</f>
        <v>2039257.17</v>
      </c>
      <c r="G33" s="246">
        <f>SUM(G5:G31)</f>
        <v>95549.92</v>
      </c>
      <c r="H33" s="246">
        <f>SUM(H5:H31)</f>
        <v>1591867.5</v>
      </c>
    </row>
    <row r="35" spans="2:8" ht="12" thickBot="1" x14ac:dyDescent="0.25">
      <c r="B35" s="253" t="s">
        <v>847</v>
      </c>
      <c r="D35" s="254">
        <f>E33</f>
        <v>1349634.9800000004</v>
      </c>
      <c r="E35" s="249"/>
    </row>
    <row r="36" spans="2:8" ht="12" thickTop="1" x14ac:dyDescent="0.2">
      <c r="B36" t="s">
        <v>815</v>
      </c>
      <c r="D36" s="20">
        <f>D33</f>
        <v>57573327.609999999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75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Merrimack School Ddistrict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2901306.09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767410.04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50242.859999999986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182662.26</v>
      </c>
      <c r="D11" s="95">
        <f>'DOE25'!G12</f>
        <v>52559.83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202051.78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3286020.1299999994</v>
      </c>
      <c r="D18" s="41">
        <f>SUM(D8:D17)</f>
        <v>52559.83</v>
      </c>
      <c r="E18" s="41">
        <f>SUM(E8:E17)</f>
        <v>50242.859999999986</v>
      </c>
      <c r="F18" s="41">
        <f>SUM(F8:F17)</f>
        <v>0</v>
      </c>
      <c r="G18" s="41">
        <f>SUM(G8:G17)</f>
        <v>767410.04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56593.83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56593.83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1218874.6200000001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92519.17</v>
      </c>
      <c r="D46" s="95">
        <f>'DOE25'!G47</f>
        <v>52559.83</v>
      </c>
      <c r="E46" s="95">
        <f>'DOE25'!H47</f>
        <v>50242.860000000015</v>
      </c>
      <c r="F46" s="95">
        <f>'DOE25'!I47</f>
        <v>0</v>
      </c>
      <c r="G46" s="95">
        <f>'DOE25'!J47</f>
        <v>767410.04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1918032.51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3229426.3</v>
      </c>
      <c r="D49" s="41">
        <f>SUM(D34:D48)</f>
        <v>52559.83</v>
      </c>
      <c r="E49" s="41">
        <f>SUM(E34:E48)</f>
        <v>50242.860000000015</v>
      </c>
      <c r="F49" s="41">
        <f>SUM(F34:F48)</f>
        <v>0</v>
      </c>
      <c r="G49" s="41">
        <f>SUM(G34:G48)</f>
        <v>767410.04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3286020.13</v>
      </c>
      <c r="D50" s="41">
        <f>D49+D31</f>
        <v>52559.83</v>
      </c>
      <c r="E50" s="41">
        <f>E49+E31</f>
        <v>50242.860000000015</v>
      </c>
      <c r="F50" s="41">
        <f>F49+F31</f>
        <v>0</v>
      </c>
      <c r="G50" s="41">
        <f>G49+G31</f>
        <v>767410.04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41953965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230041.44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2154.89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-530.80999999999995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1037360.08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18000</v>
      </c>
      <c r="D60" s="95">
        <f>SUM('DOE25'!G97:G109)</f>
        <v>0</v>
      </c>
      <c r="E60" s="95">
        <f>SUM('DOE25'!H97:H109)</f>
        <v>192997.28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250196.33000000002</v>
      </c>
      <c r="D61" s="130">
        <f>SUM(D56:D60)</f>
        <v>1037360.08</v>
      </c>
      <c r="E61" s="130">
        <f>SUM(E56:E60)</f>
        <v>192997.28</v>
      </c>
      <c r="F61" s="130">
        <f>SUM(F56:F60)</f>
        <v>0</v>
      </c>
      <c r="G61" s="130">
        <f>SUM(G56:G60)</f>
        <v>-530.80999999999995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42204161.329999998</v>
      </c>
      <c r="D62" s="22">
        <f>D55+D61</f>
        <v>1037360.08</v>
      </c>
      <c r="E62" s="22">
        <f>E55+E61</f>
        <v>192997.28</v>
      </c>
      <c r="F62" s="22">
        <f>F55+F61</f>
        <v>0</v>
      </c>
      <c r="G62" s="22">
        <f>G55+G61</f>
        <v>-530.80999999999995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10445382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6756913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17202295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393533.4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1210654.76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87869.22</v>
      </c>
      <c r="D76" s="95">
        <f>SUM('DOE25'!G130:G134)</f>
        <v>16035.99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1692057.3800000001</v>
      </c>
      <c r="D77" s="130">
        <f>SUM(D71:D76)</f>
        <v>16035.99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18894352.379999999</v>
      </c>
      <c r="D80" s="130">
        <f>SUM(D78:D79)+D77+D69</f>
        <v>16035.99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872423.82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618854.74</v>
      </c>
      <c r="D87" s="95">
        <f>SUM('DOE25'!G152:G160)</f>
        <v>229473.19</v>
      </c>
      <c r="E87" s="95">
        <f>SUM('DOE25'!H152:H160)</f>
        <v>488835.20000000007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7087.5680000000002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625942.30799999996</v>
      </c>
      <c r="D90" s="131">
        <f>SUM(D84:D89)</f>
        <v>229473.19</v>
      </c>
      <c r="E90" s="131">
        <f>SUM(E84:E89)</f>
        <v>1361259.02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61724456.017999992</v>
      </c>
      <c r="D103" s="86">
        <f>D62+D80+D90+D102</f>
        <v>1282869.26</v>
      </c>
      <c r="E103" s="86">
        <f>E62+E80+E90+E102</f>
        <v>1554256.3</v>
      </c>
      <c r="F103" s="86">
        <f>F62+F80+F90+F102</f>
        <v>0</v>
      </c>
      <c r="G103" s="86">
        <f>G62+G80+G102</f>
        <v>-530.80999999999995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23348050.619999997</v>
      </c>
      <c r="D108" s="24" t="s">
        <v>289</v>
      </c>
      <c r="E108" s="95">
        <f>('DOE25'!L275)+('DOE25'!L294)+('DOE25'!L313)</f>
        <v>188200.55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14767748.560000001</v>
      </c>
      <c r="D109" s="24" t="s">
        <v>289</v>
      </c>
      <c r="E109" s="95">
        <f>('DOE25'!L276)+('DOE25'!L295)+('DOE25'!L314)</f>
        <v>781681.52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39989.230000000003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732164.5199999999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40657.629999999997</v>
      </c>
      <c r="D113" s="24" t="s">
        <v>289</v>
      </c>
      <c r="E113" s="95">
        <f>+ SUM('DOE25'!L332:L334)</f>
        <v>24850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38928610.560000002</v>
      </c>
      <c r="D114" s="86">
        <f>SUM(D108:D113)</f>
        <v>0</v>
      </c>
      <c r="E114" s="86">
        <f>SUM(E108:E113)</f>
        <v>994732.07000000007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4533198.83</v>
      </c>
      <c r="D117" s="24" t="s">
        <v>289</v>
      </c>
      <c r="E117" s="95">
        <f>+('DOE25'!L280)+('DOE25'!L299)+('DOE25'!L318)</f>
        <v>54335.819999999985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1664344.64</v>
      </c>
      <c r="D118" s="24" t="s">
        <v>289</v>
      </c>
      <c r="E118" s="95">
        <f>+('DOE25'!L281)+('DOE25'!L300)+('DOE25'!L319)</f>
        <v>138795.69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1470787.2500000002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2919637.0999999996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596101.02</v>
      </c>
      <c r="D121" s="24" t="s">
        <v>289</v>
      </c>
      <c r="E121" s="95">
        <f>+('DOE25'!L284)+('DOE25'!L303)+('DOE25'!L322)</f>
        <v>51083.14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4381305.790000001</v>
      </c>
      <c r="D122" s="24" t="s">
        <v>289</v>
      </c>
      <c r="E122" s="95">
        <f>+('DOE25'!L285)+('DOE25'!L304)+('DOE25'!L323)</f>
        <v>116527.23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3156463.0999999996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139137.88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1282869.2599999998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18860975.609999999</v>
      </c>
      <c r="D127" s="86">
        <f>SUM(D117:D126)</f>
        <v>1282869.2599999998</v>
      </c>
      <c r="E127" s="86">
        <f>SUM(E117:E126)</f>
        <v>360741.87999999995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1217439.71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1070000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521867.5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5785.07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-530.80999999999995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530.80999999999995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2809307.21</v>
      </c>
      <c r="D143" s="141">
        <f>SUM(D129:D142)</f>
        <v>0</v>
      </c>
      <c r="E143" s="141">
        <f>SUM(E129:E142)</f>
        <v>5785.07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60598893.380000003</v>
      </c>
      <c r="D144" s="86">
        <f>(D114+D127+D143)</f>
        <v>1282869.2599999998</v>
      </c>
      <c r="E144" s="86">
        <f>(E114+E127+E143)</f>
        <v>1361259.02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20</v>
      </c>
      <c r="D150" s="153">
        <f>'DOE25'!H489</f>
        <v>20</v>
      </c>
      <c r="E150" s="153">
        <f>'DOE25'!I489</f>
        <v>12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 t="str">
        <f>'DOE25'!G490</f>
        <v>2/01</v>
      </c>
      <c r="D151" s="152" t="str">
        <f>'DOE25'!H490</f>
        <v>2/04</v>
      </c>
      <c r="E151" s="152" t="str">
        <f>'DOE25'!I490</f>
        <v>07/07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 t="str">
        <f>'DOE25'!G491</f>
        <v>8/20</v>
      </c>
      <c r="D152" s="152" t="str">
        <f>'DOE25'!H491</f>
        <v>8/23</v>
      </c>
      <c r="E152" s="152" t="str">
        <f>'DOE25'!I491</f>
        <v>07/20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5915851</v>
      </c>
      <c r="D153" s="137">
        <f>'DOE25'!H492</f>
        <v>15525000</v>
      </c>
      <c r="E153" s="137">
        <f>'DOE25'!I492</f>
        <v>3675816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5.31</v>
      </c>
      <c r="D154" s="137">
        <f>'DOE25'!H493</f>
        <v>3.52</v>
      </c>
      <c r="E154" s="137">
        <f>'DOE25'!I493</f>
        <v>4.4800000000000004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2655000</v>
      </c>
      <c r="D155" s="137">
        <f>'DOE25'!H494</f>
        <v>9300000</v>
      </c>
      <c r="E155" s="137">
        <f>'DOE25'!I494</f>
        <v>2743474.7600000002</v>
      </c>
      <c r="F155" s="137">
        <f>'DOE25'!J494</f>
        <v>0</v>
      </c>
      <c r="G155" s="138">
        <f>SUM(B155:F155)</f>
        <v>14698474.76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295000</v>
      </c>
      <c r="D157" s="137">
        <f>'DOE25'!H496</f>
        <v>775000</v>
      </c>
      <c r="E157" s="137">
        <f>'DOE25'!I496</f>
        <v>201903.98</v>
      </c>
      <c r="F157" s="137">
        <f>'DOE25'!J496</f>
        <v>0</v>
      </c>
      <c r="G157" s="138">
        <f t="shared" si="0"/>
        <v>1271903.98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2360000</v>
      </c>
      <c r="D158" s="137">
        <f>'DOE25'!H497</f>
        <v>8525000</v>
      </c>
      <c r="E158" s="137">
        <f>'DOE25'!I497</f>
        <v>2743474.7600000002</v>
      </c>
      <c r="F158" s="137">
        <f>'DOE25'!J497</f>
        <v>0</v>
      </c>
      <c r="G158" s="138">
        <f t="shared" si="0"/>
        <v>13628474.76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442646.5</v>
      </c>
      <c r="D159" s="137">
        <f>'DOE25'!H498</f>
        <v>2188775</v>
      </c>
      <c r="E159" s="137">
        <f>'DOE25'!I498</f>
        <v>502348.74</v>
      </c>
      <c r="F159" s="137">
        <f>'DOE25'!J498</f>
        <v>0</v>
      </c>
      <c r="G159" s="138">
        <f t="shared" si="0"/>
        <v>3133770.24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2802646.5</v>
      </c>
      <c r="D160" s="137">
        <f>'DOE25'!H499</f>
        <v>10713775</v>
      </c>
      <c r="E160" s="137">
        <f>'DOE25'!I499</f>
        <v>3245823.5</v>
      </c>
      <c r="F160" s="137">
        <f>'DOE25'!J499</f>
        <v>0</v>
      </c>
      <c r="G160" s="138">
        <f t="shared" si="0"/>
        <v>16762245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295000</v>
      </c>
      <c r="D161" s="137">
        <f>'DOE25'!H500</f>
        <v>775000</v>
      </c>
      <c r="E161" s="137">
        <f>'DOE25'!I500</f>
        <v>269244</v>
      </c>
      <c r="F161" s="137">
        <f>'DOE25'!J500</f>
        <v>0</v>
      </c>
      <c r="G161" s="138">
        <f t="shared" si="0"/>
        <v>1339244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134667.5</v>
      </c>
      <c r="D162" s="137">
        <f>'DOE25'!H501</f>
        <v>368725</v>
      </c>
      <c r="E162" s="137">
        <f>'DOE25'!I501</f>
        <v>111052</v>
      </c>
      <c r="F162" s="137">
        <f>'DOE25'!J501</f>
        <v>0</v>
      </c>
      <c r="G162" s="138">
        <f t="shared" si="0"/>
        <v>614444.5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429667.5</v>
      </c>
      <c r="D163" s="137">
        <f>'DOE25'!H502</f>
        <v>1143725</v>
      </c>
      <c r="E163" s="137">
        <f>'DOE25'!I502</f>
        <v>380296</v>
      </c>
      <c r="F163" s="137">
        <f>'DOE25'!J502</f>
        <v>0</v>
      </c>
      <c r="G163" s="138">
        <f t="shared" si="0"/>
        <v>1953688.5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Merrimack School Ddistrict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13658</v>
      </c>
    </row>
    <row r="5" spans="1:4" x14ac:dyDescent="0.2">
      <c r="B5" t="s">
        <v>704</v>
      </c>
      <c r="C5" s="179">
        <f>IF('DOE25'!G664+'DOE25'!G669=0,0,ROUND('DOE25'!G671,0))</f>
        <v>13656</v>
      </c>
    </row>
    <row r="6" spans="1:4" x14ac:dyDescent="0.2">
      <c r="B6" t="s">
        <v>62</v>
      </c>
      <c r="C6" s="179">
        <f>IF('DOE25'!H664+'DOE25'!H669=0,0,ROUND('DOE25'!H671,0))</f>
        <v>13039</v>
      </c>
    </row>
    <row r="7" spans="1:4" x14ac:dyDescent="0.2">
      <c r="B7" t="s">
        <v>705</v>
      </c>
      <c r="C7" s="179">
        <f>IF('DOE25'!I664+'DOE25'!I669=0,0,ROUND('DOE25'!I671,0))</f>
        <v>13440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23536251</v>
      </c>
      <c r="D10" s="182">
        <f>ROUND((C10/$C$28)*100,1)</f>
        <v>39.299999999999997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15549430</v>
      </c>
      <c r="D11" s="182">
        <f>ROUND((C11/$C$28)*100,1)</f>
        <v>26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39989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732165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4587535</v>
      </c>
      <c r="D15" s="182">
        <f t="shared" ref="D15:D27" si="0">ROUND((C15/$C$28)*100,1)</f>
        <v>7.7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1803140</v>
      </c>
      <c r="D16" s="182">
        <f t="shared" si="0"/>
        <v>3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1609925</v>
      </c>
      <c r="D17" s="182">
        <f t="shared" si="0"/>
        <v>2.7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2919637</v>
      </c>
      <c r="D18" s="182">
        <f t="shared" si="0"/>
        <v>4.9000000000000004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647184</v>
      </c>
      <c r="D19" s="182">
        <f t="shared" si="0"/>
        <v>1.1000000000000001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4497833</v>
      </c>
      <c r="D20" s="182">
        <f t="shared" si="0"/>
        <v>7.5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3156463</v>
      </c>
      <c r="D21" s="182">
        <f t="shared" si="0"/>
        <v>5.3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65508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ROUND('DOE25'!L260+'DOE25'!L341,0)</f>
        <v>521868</v>
      </c>
      <c r="D25" s="182">
        <f t="shared" si="0"/>
        <v>0.9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245508.92000000004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59912436.920000002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1217440</v>
      </c>
    </row>
    <row r="30" spans="1:4" x14ac:dyDescent="0.2">
      <c r="B30" s="187" t="s">
        <v>729</v>
      </c>
      <c r="C30" s="180">
        <f>SUM(C28:C29)</f>
        <v>61129876.920000002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1070000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41953965</v>
      </c>
      <c r="D35" s="182">
        <f t="shared" ref="D35:D40" si="1">ROUND((C35/$C$41)*100,1)</f>
        <v>66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442662.79999999702</v>
      </c>
      <c r="D36" s="182">
        <f t="shared" si="1"/>
        <v>0.7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17202295</v>
      </c>
      <c r="D37" s="182">
        <f t="shared" si="1"/>
        <v>27.1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1708093</v>
      </c>
      <c r="D38" s="182">
        <f t="shared" si="1"/>
        <v>2.7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2216675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63523690.799999997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2" t="s">
        <v>770</v>
      </c>
      <c r="B1" s="293"/>
      <c r="C1" s="293"/>
      <c r="D1" s="293"/>
      <c r="E1" s="293"/>
      <c r="F1" s="293"/>
      <c r="G1" s="293"/>
      <c r="H1" s="293"/>
      <c r="I1" s="293"/>
      <c r="J1" s="213"/>
      <c r="K1" s="213"/>
      <c r="L1" s="213"/>
      <c r="M1" s="214"/>
    </row>
    <row r="2" spans="1:26" ht="12.75" x14ac:dyDescent="0.2">
      <c r="A2" s="298" t="s">
        <v>767</v>
      </c>
      <c r="B2" s="299"/>
      <c r="C2" s="299"/>
      <c r="D2" s="299"/>
      <c r="E2" s="299"/>
      <c r="F2" s="296" t="str">
        <f>'DOE25'!A2</f>
        <v>Merrimack School Ddistrict</v>
      </c>
      <c r="G2" s="297"/>
      <c r="H2" s="297"/>
      <c r="I2" s="297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4" t="s">
        <v>771</v>
      </c>
      <c r="D3" s="294"/>
      <c r="E3" s="294"/>
      <c r="F3" s="294"/>
      <c r="G3" s="294"/>
      <c r="H3" s="294"/>
      <c r="I3" s="294"/>
      <c r="J3" s="294"/>
      <c r="K3" s="294"/>
      <c r="L3" s="294"/>
      <c r="M3" s="295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1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BB0A" sheet="1" objects="1" scenarios="1"/>
  <mergeCells count="223">
    <mergeCell ref="IP40:IV40"/>
    <mergeCell ref="C45:M45"/>
    <mergeCell ref="IC40:IM40"/>
    <mergeCell ref="P40:Z40"/>
    <mergeCell ref="AC40:AM40"/>
    <mergeCell ref="DC40:DM40"/>
    <mergeCell ref="HP40:HZ40"/>
    <mergeCell ref="C42:M42"/>
    <mergeCell ref="FC40:FM40"/>
    <mergeCell ref="FP40:FZ40"/>
    <mergeCell ref="GC40:GM40"/>
    <mergeCell ref="GP40:GZ40"/>
    <mergeCell ref="HC40:HM40"/>
    <mergeCell ref="BC40:BM40"/>
    <mergeCell ref="BP40:BZ40"/>
    <mergeCell ref="CC40:CM40"/>
    <mergeCell ref="CP40:CZ40"/>
    <mergeCell ref="EC40:EM40"/>
    <mergeCell ref="AP40:AZ40"/>
    <mergeCell ref="EP40:EZ40"/>
    <mergeCell ref="DP40:DZ40"/>
    <mergeCell ref="IC32:IM32"/>
    <mergeCell ref="IC31:IM31"/>
    <mergeCell ref="IP31:IV31"/>
    <mergeCell ref="DC38:DM38"/>
    <mergeCell ref="DP38:DZ38"/>
    <mergeCell ref="HC32:HM32"/>
    <mergeCell ref="P39:Z39"/>
    <mergeCell ref="AC39:AM39"/>
    <mergeCell ref="AP39:AZ39"/>
    <mergeCell ref="HP39:HZ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IC39:IM39"/>
    <mergeCell ref="EC38:EM38"/>
    <mergeCell ref="DC31:DM31"/>
    <mergeCell ref="BP32:BZ32"/>
    <mergeCell ref="CP32:CZ32"/>
    <mergeCell ref="BP31:BZ31"/>
    <mergeCell ref="HP31:HZ31"/>
    <mergeCell ref="AP38:AZ38"/>
    <mergeCell ref="IP32:IV32"/>
    <mergeCell ref="EP38:EZ38"/>
    <mergeCell ref="FC38:FM38"/>
    <mergeCell ref="FP38:FZ38"/>
    <mergeCell ref="GC38:GM38"/>
    <mergeCell ref="GP38:GZ38"/>
    <mergeCell ref="HP38:HZ38"/>
    <mergeCell ref="HC38:HM38"/>
    <mergeCell ref="DP32:DZ32"/>
    <mergeCell ref="EC32:EM32"/>
    <mergeCell ref="CP38:CZ38"/>
    <mergeCell ref="IC38:IM38"/>
    <mergeCell ref="IP38:IV38"/>
    <mergeCell ref="GP32:GZ32"/>
    <mergeCell ref="FC32:FM32"/>
    <mergeCell ref="HC31:HM31"/>
    <mergeCell ref="HP32:HZ32"/>
    <mergeCell ref="HC30:HM30"/>
    <mergeCell ref="HP30:HZ30"/>
    <mergeCell ref="GP31:GZ31"/>
    <mergeCell ref="FP32:FZ32"/>
    <mergeCell ref="EP29:EZ29"/>
    <mergeCell ref="DC29:DM29"/>
    <mergeCell ref="GC32:GM32"/>
    <mergeCell ref="EP31:EZ31"/>
    <mergeCell ref="EP32:EZ32"/>
    <mergeCell ref="FP30:FZ30"/>
    <mergeCell ref="FC31:FM31"/>
    <mergeCell ref="FP31:FZ31"/>
    <mergeCell ref="FC30:FM30"/>
    <mergeCell ref="FC29:FM29"/>
    <mergeCell ref="DP30:DZ30"/>
    <mergeCell ref="DP31:DZ31"/>
    <mergeCell ref="EC31:EM31"/>
    <mergeCell ref="DC32:DM32"/>
    <mergeCell ref="EC30:EM30"/>
    <mergeCell ref="EP30:EZ30"/>
    <mergeCell ref="HP29:HZ29"/>
    <mergeCell ref="IC29:IM29"/>
    <mergeCell ref="IP29:IV29"/>
    <mergeCell ref="C41:M41"/>
    <mergeCell ref="C33:M33"/>
    <mergeCell ref="C37:M37"/>
    <mergeCell ref="AP31:AZ31"/>
    <mergeCell ref="P32:Z32"/>
    <mergeCell ref="CP29:CZ29"/>
    <mergeCell ref="C31:M31"/>
    <mergeCell ref="P31:Z31"/>
    <mergeCell ref="CC32:CM32"/>
    <mergeCell ref="BC32:BM32"/>
    <mergeCell ref="P38:Z38"/>
    <mergeCell ref="AC38:AM38"/>
    <mergeCell ref="IC30:IM30"/>
    <mergeCell ref="CP31:CZ31"/>
    <mergeCell ref="CC31:CM31"/>
    <mergeCell ref="GC31:GM31"/>
    <mergeCell ref="DC30:DM30"/>
    <mergeCell ref="CP30:CZ30"/>
    <mergeCell ref="IP30:IV30"/>
    <mergeCell ref="GC30:GM30"/>
    <mergeCell ref="GP30:GZ30"/>
    <mergeCell ref="C30:M30"/>
    <mergeCell ref="HC29:HM29"/>
    <mergeCell ref="GP29:GZ29"/>
    <mergeCell ref="DP29:DZ29"/>
    <mergeCell ref="FP29:FZ29"/>
    <mergeCell ref="GC29:GM29"/>
    <mergeCell ref="EC29:EM29"/>
    <mergeCell ref="C23:M23"/>
    <mergeCell ref="C25:M25"/>
    <mergeCell ref="C26:M26"/>
    <mergeCell ref="C18:M18"/>
    <mergeCell ref="C19:M19"/>
    <mergeCell ref="C20:M20"/>
    <mergeCell ref="C14:M14"/>
    <mergeCell ref="P29:Z29"/>
    <mergeCell ref="C27:M27"/>
    <mergeCell ref="C21:M21"/>
    <mergeCell ref="C22:M22"/>
    <mergeCell ref="C15:M15"/>
    <mergeCell ref="C16:M16"/>
    <mergeCell ref="C17:M17"/>
    <mergeCell ref="A1:I1"/>
    <mergeCell ref="C3:M3"/>
    <mergeCell ref="C4:M4"/>
    <mergeCell ref="F2:I2"/>
    <mergeCell ref="A2:E2"/>
    <mergeCell ref="C13:M13"/>
    <mergeCell ref="C9:M9"/>
    <mergeCell ref="C10:M10"/>
    <mergeCell ref="C11:M11"/>
    <mergeCell ref="C12:M12"/>
    <mergeCell ref="C5:M5"/>
    <mergeCell ref="C6:M6"/>
    <mergeCell ref="C7:M7"/>
    <mergeCell ref="C8:M8"/>
    <mergeCell ref="AP30:AZ30"/>
    <mergeCell ref="C28:M28"/>
    <mergeCell ref="CC29:CM29"/>
    <mergeCell ref="AP29:AZ29"/>
    <mergeCell ref="C35:M35"/>
    <mergeCell ref="C36:M36"/>
    <mergeCell ref="BC29:BM29"/>
    <mergeCell ref="C29:M29"/>
    <mergeCell ref="AC29:AM29"/>
    <mergeCell ref="AC32:AM32"/>
    <mergeCell ref="C32:M32"/>
    <mergeCell ref="AP32:AZ32"/>
    <mergeCell ref="BC31:BM31"/>
    <mergeCell ref="AC31:AM31"/>
    <mergeCell ref="P30:Z30"/>
    <mergeCell ref="AC30:AM30"/>
    <mergeCell ref="C50:M50"/>
    <mergeCell ref="C24:M24"/>
    <mergeCell ref="C57:M57"/>
    <mergeCell ref="C59:M59"/>
    <mergeCell ref="BP29:BZ29"/>
    <mergeCell ref="CC30:CM30"/>
    <mergeCell ref="BC30:BM30"/>
    <mergeCell ref="BP30:BZ30"/>
    <mergeCell ref="C38:M38"/>
    <mergeCell ref="BC39:BM39"/>
    <mergeCell ref="BC38:BM38"/>
    <mergeCell ref="C52:M52"/>
    <mergeCell ref="C39:M39"/>
    <mergeCell ref="C40:M40"/>
    <mergeCell ref="C43:M43"/>
    <mergeCell ref="C44:M44"/>
    <mergeCell ref="C34:M34"/>
    <mergeCell ref="C47:M47"/>
    <mergeCell ref="C48:M48"/>
    <mergeCell ref="C49:M49"/>
    <mergeCell ref="C51:M51"/>
    <mergeCell ref="BP38:BZ38"/>
    <mergeCell ref="CC38:CM38"/>
    <mergeCell ref="C46:M46"/>
    <mergeCell ref="C90:M90"/>
    <mergeCell ref="C83:M83"/>
    <mergeCell ref="C84:M84"/>
    <mergeCell ref="C85:M85"/>
    <mergeCell ref="C86:M86"/>
    <mergeCell ref="C89:M89"/>
    <mergeCell ref="C81:M81"/>
    <mergeCell ref="C77:M77"/>
    <mergeCell ref="C78:M78"/>
    <mergeCell ref="C87:M87"/>
    <mergeCell ref="C88:M88"/>
    <mergeCell ref="C76:M76"/>
    <mergeCell ref="C66:M66"/>
    <mergeCell ref="C53:M53"/>
    <mergeCell ref="C70:M70"/>
    <mergeCell ref="C74:M74"/>
    <mergeCell ref="C75:M75"/>
    <mergeCell ref="C79:M79"/>
    <mergeCell ref="C80:M80"/>
    <mergeCell ref="C82:M82"/>
    <mergeCell ref="A72:E72"/>
    <mergeCell ref="C73:M73"/>
    <mergeCell ref="C56:M56"/>
    <mergeCell ref="C54:M54"/>
    <mergeCell ref="C55:M55"/>
    <mergeCell ref="C58:M58"/>
    <mergeCell ref="C67:M67"/>
    <mergeCell ref="C68:M68"/>
    <mergeCell ref="C69:M69"/>
    <mergeCell ref="C60:M60"/>
    <mergeCell ref="C62:M62"/>
    <mergeCell ref="C61:M61"/>
    <mergeCell ref="C63:M63"/>
    <mergeCell ref="C64:M64"/>
    <mergeCell ref="C65:M65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2013-11-04T15:29:53Z</cp:lastPrinted>
  <dcterms:created xsi:type="dcterms:W3CDTF">1997-12-04T19:04:30Z</dcterms:created>
  <dcterms:modified xsi:type="dcterms:W3CDTF">2013-12-05T18:52:20Z</dcterms:modified>
</cp:coreProperties>
</file>