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38" i="12" l="1"/>
  <c r="B37" i="12"/>
  <c r="B20" i="12"/>
  <c r="B19" i="12"/>
  <c r="H596" i="1"/>
  <c r="J596" i="1"/>
  <c r="I594" i="1"/>
  <c r="I593" i="1"/>
  <c r="J594" i="1"/>
  <c r="J593" i="1"/>
  <c r="J592" i="1"/>
  <c r="H594" i="1"/>
  <c r="H590" i="1"/>
  <c r="I596" i="1"/>
  <c r="I590" i="1"/>
  <c r="H603" i="1"/>
  <c r="I206" i="1"/>
  <c r="H206" i="1"/>
  <c r="I204" i="1"/>
  <c r="H203" i="1"/>
  <c r="I202" i="1"/>
  <c r="H202" i="1"/>
  <c r="K201" i="1"/>
  <c r="I201" i="1"/>
  <c r="H201" i="1"/>
  <c r="I197" i="1"/>
  <c r="H197" i="1"/>
  <c r="I196" i="1"/>
  <c r="F207" i="1"/>
  <c r="F206" i="1"/>
  <c r="F202" i="1"/>
  <c r="F201" i="1"/>
  <c r="F197" i="1"/>
  <c r="C37" i="12"/>
  <c r="H531" i="1" l="1"/>
  <c r="F531" i="1"/>
  <c r="F526" i="1"/>
  <c r="H532" i="1"/>
  <c r="H527" i="1"/>
  <c r="F532" i="1"/>
  <c r="F527" i="1"/>
  <c r="H530" i="1"/>
  <c r="H525" i="1"/>
  <c r="F525" i="1"/>
  <c r="K532" i="1"/>
  <c r="K531" i="1"/>
  <c r="K530" i="1"/>
  <c r="G532" i="1"/>
  <c r="G531" i="1"/>
  <c r="G530" i="1"/>
  <c r="F530" i="1"/>
  <c r="G527" i="1"/>
  <c r="G526" i="1"/>
  <c r="G525" i="1"/>
  <c r="G561" i="1"/>
  <c r="F563" i="1"/>
  <c r="H578" i="1"/>
  <c r="G578" i="1"/>
  <c r="F578" i="1"/>
  <c r="F541" i="1"/>
  <c r="F540" i="1"/>
  <c r="H542" i="1"/>
  <c r="H541" i="1"/>
  <c r="H540" i="1"/>
  <c r="G542" i="1"/>
  <c r="G541" i="1"/>
  <c r="G540" i="1"/>
  <c r="F542" i="1"/>
  <c r="G522" i="1"/>
  <c r="G521" i="1"/>
  <c r="H520" i="1"/>
  <c r="G520" i="1"/>
  <c r="F520" i="1"/>
  <c r="I521" i="1"/>
  <c r="F521" i="1"/>
  <c r="I522" i="1"/>
  <c r="I520" i="1"/>
  <c r="J522" i="1"/>
  <c r="J521" i="1"/>
  <c r="J520" i="1"/>
  <c r="H522" i="1"/>
  <c r="H521" i="1"/>
  <c r="F522" i="1"/>
  <c r="K260" i="1"/>
  <c r="F498" i="1"/>
  <c r="F49" i="1" l="1"/>
  <c r="F471" i="1" l="1"/>
  <c r="G467" i="1"/>
  <c r="G22" i="1"/>
  <c r="D9" i="13" l="1"/>
  <c r="H366" i="1"/>
  <c r="I359" i="1"/>
  <c r="H30" i="1"/>
  <c r="J334" i="1"/>
  <c r="J603" i="1"/>
  <c r="I603" i="1"/>
  <c r="G367" i="1"/>
  <c r="G366" i="1"/>
  <c r="F367" i="1"/>
  <c r="F366" i="1"/>
  <c r="H359" i="1"/>
  <c r="H358" i="1"/>
  <c r="H357" i="1"/>
  <c r="F359" i="1"/>
  <c r="F358" i="1"/>
  <c r="F357" i="1"/>
  <c r="H12" i="1"/>
  <c r="H22" i="1"/>
  <c r="J331" i="1"/>
  <c r="I331" i="1"/>
  <c r="H331" i="1"/>
  <c r="F318" i="1"/>
  <c r="H278" i="1"/>
  <c r="G278" i="1"/>
  <c r="I278" i="1"/>
  <c r="J314" i="1"/>
  <c r="J295" i="1"/>
  <c r="J276" i="1"/>
  <c r="I314" i="1"/>
  <c r="I295" i="1"/>
  <c r="I276" i="1"/>
  <c r="H314" i="1"/>
  <c r="H295" i="1"/>
  <c r="H276" i="1"/>
  <c r="G314" i="1"/>
  <c r="G295" i="1"/>
  <c r="G276" i="1"/>
  <c r="F314" i="1"/>
  <c r="F295" i="1"/>
  <c r="F276" i="1"/>
  <c r="F313" i="1"/>
  <c r="F294" i="1"/>
  <c r="F275" i="1"/>
  <c r="F278" i="1"/>
  <c r="H160" i="1"/>
  <c r="H154" i="1"/>
  <c r="G160" i="1"/>
  <c r="G96" i="1"/>
  <c r="F468" i="1" l="1"/>
  <c r="F95" i="1"/>
  <c r="H239" i="1"/>
  <c r="F243" i="1"/>
  <c r="F225" i="1"/>
  <c r="I242" i="1"/>
  <c r="I224" i="1"/>
  <c r="H242" i="1"/>
  <c r="H224" i="1"/>
  <c r="F242" i="1"/>
  <c r="F224" i="1"/>
  <c r="I240" i="1"/>
  <c r="I222" i="1"/>
  <c r="J238" i="1"/>
  <c r="J220" i="1"/>
  <c r="I238" i="1"/>
  <c r="I220" i="1"/>
  <c r="H238" i="1"/>
  <c r="F238" i="1"/>
  <c r="F220" i="1"/>
  <c r="K219" i="1"/>
  <c r="I237" i="1"/>
  <c r="I219" i="1"/>
  <c r="H237" i="1"/>
  <c r="H219" i="1"/>
  <c r="F237" i="1"/>
  <c r="F219" i="1"/>
  <c r="K235" i="1"/>
  <c r="J233" i="1"/>
  <c r="J215" i="1"/>
  <c r="I233" i="1"/>
  <c r="I215" i="1"/>
  <c r="H233" i="1"/>
  <c r="H215" i="1"/>
  <c r="F233" i="1"/>
  <c r="F215" i="1"/>
  <c r="I232" i="1"/>
  <c r="I214" i="1"/>
  <c r="F232" i="1"/>
  <c r="F214" i="1"/>
  <c r="F196" i="1"/>
  <c r="H28" i="1" l="1"/>
  <c r="H24" i="1"/>
  <c r="H14" i="1"/>
  <c r="H13" i="1"/>
  <c r="F28" i="1"/>
  <c r="F14" i="1"/>
  <c r="F10" i="1"/>
  <c r="F9" i="1"/>
  <c r="C37" i="10" l="1"/>
  <c r="F40" i="2" l="1"/>
  <c r="D39" i="2"/>
  <c r="G654" i="1"/>
  <c r="J654" i="1" s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E16" i="13" s="1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C120" i="2" s="1"/>
  <c r="F14" i="13"/>
  <c r="G14" i="13"/>
  <c r="L206" i="1"/>
  <c r="L224" i="1"/>
  <c r="L242" i="1"/>
  <c r="F15" i="13"/>
  <c r="G15" i="13"/>
  <c r="L207" i="1"/>
  <c r="L225" i="1"/>
  <c r="L243" i="1"/>
  <c r="F17" i="13"/>
  <c r="G17" i="13"/>
  <c r="D17" i="13" s="1"/>
  <c r="C17" i="13" s="1"/>
  <c r="L250" i="1"/>
  <c r="F18" i="13"/>
  <c r="G18" i="13"/>
  <c r="L251" i="1"/>
  <c r="D18" i="13" s="1"/>
  <c r="C18" i="13" s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E120" i="2" s="1"/>
  <c r="L284" i="1"/>
  <c r="L285" i="1"/>
  <c r="L286" i="1"/>
  <c r="L287" i="1"/>
  <c r="E124" i="2" s="1"/>
  <c r="L294" i="1"/>
  <c r="L295" i="1"/>
  <c r="L296" i="1"/>
  <c r="L297" i="1"/>
  <c r="L299" i="1"/>
  <c r="L300" i="1"/>
  <c r="L301" i="1"/>
  <c r="L302" i="1"/>
  <c r="L303" i="1"/>
  <c r="L304" i="1"/>
  <c r="L305" i="1"/>
  <c r="E123" i="2" s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130" i="2" s="1"/>
  <c r="L260" i="1"/>
  <c r="C25" i="10" s="1"/>
  <c r="L340" i="1"/>
  <c r="L341" i="1"/>
  <c r="L254" i="1"/>
  <c r="C129" i="2" s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400" i="1" s="1"/>
  <c r="C138" i="2" s="1"/>
  <c r="L398" i="1"/>
  <c r="L399" i="1"/>
  <c r="L402" i="1"/>
  <c r="L403" i="1"/>
  <c r="L404" i="1"/>
  <c r="L405" i="1"/>
  <c r="L265" i="1"/>
  <c r="J59" i="1"/>
  <c r="G55" i="2" s="1"/>
  <c r="G58" i="2"/>
  <c r="G60" i="2"/>
  <c r="G61" i="2" s="1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55" i="2" s="1"/>
  <c r="F78" i="1"/>
  <c r="C56" i="2" s="1"/>
  <c r="F93" i="1"/>
  <c r="C57" i="2" s="1"/>
  <c r="F110" i="1"/>
  <c r="G110" i="1"/>
  <c r="G111" i="1" s="1"/>
  <c r="H78" i="1"/>
  <c r="H93" i="1"/>
  <c r="H110" i="1"/>
  <c r="I110" i="1"/>
  <c r="I111" i="1" s="1"/>
  <c r="J110" i="1"/>
  <c r="F120" i="1"/>
  <c r="F135" i="1"/>
  <c r="G120" i="1"/>
  <c r="G135" i="1"/>
  <c r="H120" i="1"/>
  <c r="H135" i="1"/>
  <c r="I120" i="1"/>
  <c r="I135" i="1"/>
  <c r="J120" i="1"/>
  <c r="J135" i="1"/>
  <c r="J139" i="1" s="1"/>
  <c r="F146" i="1"/>
  <c r="C84" i="2" s="1"/>
  <c r="F161" i="1"/>
  <c r="F168" i="1" s="1"/>
  <c r="G146" i="1"/>
  <c r="G161" i="1"/>
  <c r="H146" i="1"/>
  <c r="H161" i="1"/>
  <c r="I146" i="1"/>
  <c r="I161" i="1"/>
  <c r="L249" i="1"/>
  <c r="L331" i="1"/>
  <c r="C23" i="10" s="1"/>
  <c r="L253" i="1"/>
  <c r="L267" i="1"/>
  <c r="L268" i="1"/>
  <c r="C142" i="2" s="1"/>
  <c r="L348" i="1"/>
  <c r="E141" i="2" s="1"/>
  <c r="L349" i="1"/>
  <c r="I664" i="1"/>
  <c r="I669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E134" i="2" s="1"/>
  <c r="L345" i="1"/>
  <c r="L346" i="1"/>
  <c r="K350" i="1"/>
  <c r="L520" i="1"/>
  <c r="F548" i="1" s="1"/>
  <c r="L521" i="1"/>
  <c r="F549" i="1" s="1"/>
  <c r="L522" i="1"/>
  <c r="F550" i="1" s="1"/>
  <c r="L525" i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G36" i="2" s="1"/>
  <c r="I458" i="1"/>
  <c r="J47" i="1" s="1"/>
  <c r="G46" i="2" s="1"/>
  <c r="C48" i="2"/>
  <c r="D55" i="2"/>
  <c r="E55" i="2"/>
  <c r="E57" i="2"/>
  <c r="C58" i="2"/>
  <c r="D58" i="2"/>
  <c r="E58" i="2"/>
  <c r="F58" i="2"/>
  <c r="D59" i="2"/>
  <c r="C60" i="2"/>
  <c r="D60" i="2"/>
  <c r="D61" i="2" s="1"/>
  <c r="D62" i="2" s="1"/>
  <c r="E60" i="2"/>
  <c r="F60" i="2"/>
  <c r="C65" i="2"/>
  <c r="C66" i="2"/>
  <c r="C69" i="2" s="1"/>
  <c r="C68" i="2"/>
  <c r="D68" i="2"/>
  <c r="D69" i="2" s="1"/>
  <c r="E68" i="2"/>
  <c r="E69" i="2" s="1"/>
  <c r="F68" i="2"/>
  <c r="F69" i="2" s="1"/>
  <c r="G68" i="2"/>
  <c r="G69" i="2" s="1"/>
  <c r="C71" i="2"/>
  <c r="F71" i="2"/>
  <c r="F77" i="2" s="1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 s="1"/>
  <c r="C78" i="2"/>
  <c r="D78" i="2"/>
  <c r="E78" i="2"/>
  <c r="C79" i="2"/>
  <c r="E79" i="2"/>
  <c r="D84" i="2"/>
  <c r="E84" i="2"/>
  <c r="F84" i="2"/>
  <c r="F90" i="2" s="1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C102" i="2" s="1"/>
  <c r="F93" i="2"/>
  <c r="F102" i="2" s="1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10" i="2"/>
  <c r="C112" i="2"/>
  <c r="D114" i="2"/>
  <c r="F114" i="2"/>
  <c r="G114" i="2"/>
  <c r="E118" i="2"/>
  <c r="E119" i="2"/>
  <c r="E122" i="2"/>
  <c r="C124" i="2"/>
  <c r="F127" i="2"/>
  <c r="G127" i="2"/>
  <c r="D133" i="2"/>
  <c r="D143" i="2" s="1"/>
  <c r="F133" i="2"/>
  <c r="K418" i="1"/>
  <c r="K426" i="1"/>
  <c r="K432" i="1"/>
  <c r="L262" i="1"/>
  <c r="C134" i="2" s="1"/>
  <c r="L263" i="1"/>
  <c r="C135" i="2" s="1"/>
  <c r="L264" i="1"/>
  <c r="C136" i="2" s="1"/>
  <c r="E136" i="2"/>
  <c r="C141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G155" i="2" s="1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G162" i="2" s="1"/>
  <c r="C162" i="2"/>
  <c r="D162" i="2"/>
  <c r="E162" i="2"/>
  <c r="F162" i="2"/>
  <c r="F502" i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G619" i="1" s="1"/>
  <c r="F32" i="1"/>
  <c r="G32" i="1"/>
  <c r="H32" i="1"/>
  <c r="I32" i="1"/>
  <c r="F50" i="1"/>
  <c r="G621" i="1" s="1"/>
  <c r="G50" i="1"/>
  <c r="G622" i="1" s="1"/>
  <c r="H50" i="1"/>
  <c r="G623" i="1" s="1"/>
  <c r="I50" i="1"/>
  <c r="F176" i="1"/>
  <c r="I176" i="1"/>
  <c r="F182" i="1"/>
  <c r="G182" i="1"/>
  <c r="G191" i="1" s="1"/>
  <c r="H182" i="1"/>
  <c r="I182" i="1"/>
  <c r="J182" i="1"/>
  <c r="J191" i="1" s="1"/>
  <c r="F187" i="1"/>
  <c r="F191" i="1" s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I407" i="1" s="1"/>
  <c r="F400" i="1"/>
  <c r="G400" i="1"/>
  <c r="H400" i="1"/>
  <c r="H407" i="1" s="1"/>
  <c r="H643" i="1" s="1"/>
  <c r="I400" i="1"/>
  <c r="F406" i="1"/>
  <c r="G406" i="1"/>
  <c r="H406" i="1"/>
  <c r="I406" i="1"/>
  <c r="F407" i="1"/>
  <c r="G407" i="1"/>
  <c r="L412" i="1"/>
  <c r="L413" i="1"/>
  <c r="L418" i="1" s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32" i="1" s="1"/>
  <c r="L429" i="1"/>
  <c r="L430" i="1"/>
  <c r="L431" i="1"/>
  <c r="F432" i="1"/>
  <c r="G432" i="1"/>
  <c r="H432" i="1"/>
  <c r="I432" i="1"/>
  <c r="J432" i="1"/>
  <c r="F445" i="1"/>
  <c r="G638" i="1" s="1"/>
  <c r="G445" i="1"/>
  <c r="G639" i="1" s="1"/>
  <c r="H445" i="1"/>
  <c r="F451" i="1"/>
  <c r="G451" i="1"/>
  <c r="H451" i="1"/>
  <c r="F459" i="1"/>
  <c r="F460" i="1" s="1"/>
  <c r="H638" i="1" s="1"/>
  <c r="G459" i="1"/>
  <c r="G460" i="1" s="1"/>
  <c r="H639" i="1" s="1"/>
  <c r="H459" i="1"/>
  <c r="H460" i="1" s="1"/>
  <c r="H640" i="1" s="1"/>
  <c r="J640" i="1" s="1"/>
  <c r="F469" i="1"/>
  <c r="G469" i="1"/>
  <c r="H469" i="1"/>
  <c r="I469" i="1"/>
  <c r="J469" i="1"/>
  <c r="F473" i="1"/>
  <c r="G473" i="1"/>
  <c r="H473" i="1"/>
  <c r="I473" i="1"/>
  <c r="J473" i="1"/>
  <c r="J475" i="1" s="1"/>
  <c r="H625" i="1" s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J544" i="1" s="1"/>
  <c r="K523" i="1"/>
  <c r="F528" i="1"/>
  <c r="G528" i="1"/>
  <c r="G544" i="1" s="1"/>
  <c r="H528" i="1"/>
  <c r="I528" i="1"/>
  <c r="J528" i="1"/>
  <c r="K528" i="1"/>
  <c r="K544" i="1" s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9" i="1" s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I570" i="1" s="1"/>
  <c r="J564" i="1"/>
  <c r="K564" i="1"/>
  <c r="L566" i="1"/>
  <c r="L567" i="1"/>
  <c r="L568" i="1"/>
  <c r="L569" i="1" s="1"/>
  <c r="F569" i="1"/>
  <c r="G569" i="1"/>
  <c r="H569" i="1"/>
  <c r="I569" i="1"/>
  <c r="J569" i="1"/>
  <c r="J570" i="1" s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H626" i="1"/>
  <c r="H627" i="1"/>
  <c r="H628" i="1"/>
  <c r="H629" i="1"/>
  <c r="H630" i="1"/>
  <c r="H631" i="1"/>
  <c r="H632" i="1"/>
  <c r="H634" i="1"/>
  <c r="H635" i="1"/>
  <c r="H636" i="1"/>
  <c r="H637" i="1"/>
  <c r="G640" i="1"/>
  <c r="G642" i="1"/>
  <c r="H642" i="1"/>
  <c r="G643" i="1"/>
  <c r="H644" i="1"/>
  <c r="G649" i="1"/>
  <c r="G650" i="1"/>
  <c r="G651" i="1"/>
  <c r="H651" i="1"/>
  <c r="G652" i="1"/>
  <c r="H652" i="1"/>
  <c r="G653" i="1"/>
  <c r="H653" i="1"/>
  <c r="H654" i="1"/>
  <c r="F31" i="2"/>
  <c r="E49" i="2"/>
  <c r="G80" i="2"/>
  <c r="F61" i="2"/>
  <c r="D49" i="2"/>
  <c r="G102" i="2"/>
  <c r="D19" i="13"/>
  <c r="C19" i="13" s="1"/>
  <c r="E77" i="2"/>
  <c r="E80" i="2" s="1"/>
  <c r="L426" i="1"/>
  <c r="K570" i="1"/>
  <c r="I168" i="1"/>
  <c r="F475" i="1"/>
  <c r="H621" i="1" s="1"/>
  <c r="G22" i="2"/>
  <c r="H139" i="1"/>
  <c r="H191" i="1"/>
  <c r="J650" i="1" l="1"/>
  <c r="H551" i="1"/>
  <c r="H570" i="1"/>
  <c r="L564" i="1"/>
  <c r="L570" i="1" s="1"/>
  <c r="H544" i="1"/>
  <c r="J551" i="1"/>
  <c r="F551" i="1"/>
  <c r="K549" i="1"/>
  <c r="K499" i="1"/>
  <c r="G160" i="2"/>
  <c r="G156" i="2"/>
  <c r="G475" i="1"/>
  <c r="H622" i="1" s="1"/>
  <c r="D31" i="2"/>
  <c r="J643" i="1"/>
  <c r="J639" i="1"/>
  <c r="I368" i="1"/>
  <c r="H633" i="1" s="1"/>
  <c r="J633" i="1" s="1"/>
  <c r="G660" i="1"/>
  <c r="L361" i="1"/>
  <c r="C27" i="10" s="1"/>
  <c r="I475" i="1"/>
  <c r="H624" i="1" s="1"/>
  <c r="E113" i="2"/>
  <c r="E112" i="2"/>
  <c r="H661" i="1"/>
  <c r="G661" i="1"/>
  <c r="K337" i="1"/>
  <c r="K351" i="1" s="1"/>
  <c r="G337" i="1"/>
  <c r="G351" i="1" s="1"/>
  <c r="E111" i="2"/>
  <c r="E109" i="2"/>
  <c r="F337" i="1"/>
  <c r="F351" i="1" s="1"/>
  <c r="H475" i="1"/>
  <c r="H623" i="1" s="1"/>
  <c r="J623" i="1" s="1"/>
  <c r="D90" i="2"/>
  <c r="J621" i="1"/>
  <c r="C90" i="2"/>
  <c r="C16" i="10"/>
  <c r="G256" i="1"/>
  <c r="G270" i="1" s="1"/>
  <c r="C131" i="2"/>
  <c r="L269" i="1"/>
  <c r="C32" i="10"/>
  <c r="C118" i="2"/>
  <c r="C111" i="2"/>
  <c r="C20" i="10"/>
  <c r="D7" i="13"/>
  <c r="C7" i="13" s="1"/>
  <c r="I256" i="1"/>
  <c r="I270" i="1" s="1"/>
  <c r="A40" i="12"/>
  <c r="C109" i="2"/>
  <c r="J256" i="1"/>
  <c r="J270" i="1" s="1"/>
  <c r="C108" i="2"/>
  <c r="C122" i="2"/>
  <c r="K256" i="1"/>
  <c r="K270" i="1" s="1"/>
  <c r="D5" i="13"/>
  <c r="C5" i="13" s="1"/>
  <c r="C11" i="10"/>
  <c r="F256" i="1"/>
  <c r="F270" i="1" s="1"/>
  <c r="F49" i="2"/>
  <c r="F50" i="2" s="1"/>
  <c r="H51" i="1"/>
  <c r="H618" i="1" s="1"/>
  <c r="J618" i="1" s="1"/>
  <c r="E18" i="2"/>
  <c r="E31" i="2"/>
  <c r="E50" i="2" s="1"/>
  <c r="G51" i="1"/>
  <c r="H617" i="1" s="1"/>
  <c r="J617" i="1" s="1"/>
  <c r="C49" i="2"/>
  <c r="F51" i="1"/>
  <c r="H616" i="1" s="1"/>
  <c r="J616" i="1" s="1"/>
  <c r="C31" i="2"/>
  <c r="C18" i="2"/>
  <c r="C16" i="13"/>
  <c r="K550" i="1"/>
  <c r="G161" i="2"/>
  <c r="G158" i="2"/>
  <c r="C55" i="2"/>
  <c r="C35" i="10"/>
  <c r="F111" i="1"/>
  <c r="E117" i="2"/>
  <c r="L255" i="1"/>
  <c r="D18" i="2"/>
  <c r="L392" i="1"/>
  <c r="C137" i="2" s="1"/>
  <c r="K597" i="1"/>
  <c r="G646" i="1" s="1"/>
  <c r="F80" i="2"/>
  <c r="F18" i="2"/>
  <c r="J111" i="1"/>
  <c r="J192" i="1" s="1"/>
  <c r="G645" i="1" s="1"/>
  <c r="C61" i="2"/>
  <c r="L327" i="1"/>
  <c r="E121" i="2"/>
  <c r="L289" i="1"/>
  <c r="C10" i="10"/>
  <c r="E108" i="2"/>
  <c r="F660" i="1"/>
  <c r="H660" i="1"/>
  <c r="H646" i="1"/>
  <c r="C123" i="2"/>
  <c r="G648" i="1"/>
  <c r="J648" i="1" s="1"/>
  <c r="D15" i="13"/>
  <c r="C15" i="13" s="1"/>
  <c r="C21" i="10"/>
  <c r="F661" i="1"/>
  <c r="I661" i="1" s="1"/>
  <c r="C110" i="2"/>
  <c r="C12" i="10"/>
  <c r="H25" i="13"/>
  <c r="J638" i="1"/>
  <c r="C77" i="2"/>
  <c r="C80" i="2" s="1"/>
  <c r="L210" i="1"/>
  <c r="H168" i="1"/>
  <c r="D126" i="2"/>
  <c r="D127" i="2" s="1"/>
  <c r="D144" i="2" s="1"/>
  <c r="C18" i="10"/>
  <c r="L246" i="1"/>
  <c r="C119" i="2"/>
  <c r="I459" i="1"/>
  <c r="I445" i="1"/>
  <c r="G641" i="1" s="1"/>
  <c r="E102" i="2"/>
  <c r="I550" i="1"/>
  <c r="L538" i="1"/>
  <c r="G548" i="1"/>
  <c r="L528" i="1"/>
  <c r="E133" i="2"/>
  <c r="L350" i="1"/>
  <c r="F129" i="2"/>
  <c r="F143" i="2" s="1"/>
  <c r="F144" i="2" s="1"/>
  <c r="D12" i="13"/>
  <c r="C12" i="13" s="1"/>
  <c r="C17" i="10"/>
  <c r="I51" i="1"/>
  <c r="H619" i="1" s="1"/>
  <c r="J619" i="1" s="1"/>
  <c r="G624" i="1"/>
  <c r="J624" i="1" s="1"/>
  <c r="B163" i="2"/>
  <c r="G163" i="2" s="1"/>
  <c r="K502" i="1"/>
  <c r="F570" i="1"/>
  <c r="I544" i="1"/>
  <c r="H337" i="1"/>
  <c r="H351" i="1" s="1"/>
  <c r="I551" i="1"/>
  <c r="H111" i="1"/>
  <c r="E56" i="2"/>
  <c r="E61" i="2" s="1"/>
  <c r="E62" i="2" s="1"/>
  <c r="E129" i="2"/>
  <c r="F22" i="13"/>
  <c r="C22" i="13" s="1"/>
  <c r="L308" i="1"/>
  <c r="C117" i="2"/>
  <c r="C15" i="10"/>
  <c r="E13" i="13"/>
  <c r="C13" i="13" s="1"/>
  <c r="C19" i="10"/>
  <c r="C121" i="2"/>
  <c r="J642" i="1"/>
  <c r="A13" i="12"/>
  <c r="D14" i="13"/>
  <c r="C14" i="13" s="1"/>
  <c r="D6" i="13"/>
  <c r="C6" i="13" s="1"/>
  <c r="I451" i="1"/>
  <c r="L228" i="1"/>
  <c r="J622" i="1"/>
  <c r="H256" i="1"/>
  <c r="H270" i="1" s="1"/>
  <c r="G159" i="2"/>
  <c r="C113" i="2"/>
  <c r="C26" i="10"/>
  <c r="G644" i="1"/>
  <c r="J644" i="1" s="1"/>
  <c r="L381" i="1"/>
  <c r="G635" i="1" s="1"/>
  <c r="J635" i="1" s="1"/>
  <c r="L336" i="1"/>
  <c r="D29" i="13"/>
  <c r="C29" i="13" s="1"/>
  <c r="F62" i="2"/>
  <c r="F103" i="2" s="1"/>
  <c r="L543" i="1"/>
  <c r="C13" i="10"/>
  <c r="L613" i="1"/>
  <c r="L523" i="1"/>
  <c r="J337" i="1"/>
  <c r="J351" i="1" s="1"/>
  <c r="C29" i="10"/>
  <c r="E8" i="13"/>
  <c r="C8" i="13" s="1"/>
  <c r="C24" i="10"/>
  <c r="G31" i="13"/>
  <c r="G33" i="13" s="1"/>
  <c r="I337" i="1"/>
  <c r="I351" i="1" s="1"/>
  <c r="J649" i="1"/>
  <c r="L406" i="1"/>
  <c r="C139" i="2" s="1"/>
  <c r="I191" i="1"/>
  <c r="E90" i="2"/>
  <c r="D50" i="2"/>
  <c r="J653" i="1"/>
  <c r="J652" i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G168" i="1"/>
  <c r="G139" i="1"/>
  <c r="F139" i="1"/>
  <c r="G62" i="2"/>
  <c r="G103" i="2" s="1"/>
  <c r="G42" i="2"/>
  <c r="G49" i="2" s="1"/>
  <c r="G50" i="2" s="1"/>
  <c r="J50" i="1"/>
  <c r="G16" i="2"/>
  <c r="G18" i="2" s="1"/>
  <c r="J19" i="1"/>
  <c r="G620" i="1" s="1"/>
  <c r="F544" i="1"/>
  <c r="H433" i="1"/>
  <c r="D102" i="2"/>
  <c r="D103" i="2" s="1"/>
  <c r="I139" i="1"/>
  <c r="I192" i="1" s="1"/>
  <c r="G629" i="1" s="1"/>
  <c r="J629" i="1" s="1"/>
  <c r="A22" i="12"/>
  <c r="J651" i="1"/>
  <c r="G570" i="1"/>
  <c r="I433" i="1"/>
  <c r="G433" i="1"/>
  <c r="I662" i="1"/>
  <c r="G634" i="1" l="1"/>
  <c r="J634" i="1" s="1"/>
  <c r="E114" i="2"/>
  <c r="G659" i="1"/>
  <c r="G663" i="1" s="1"/>
  <c r="G671" i="1" s="1"/>
  <c r="C5" i="10" s="1"/>
  <c r="L337" i="1"/>
  <c r="L351" i="1" s="1"/>
  <c r="G632" i="1" s="1"/>
  <c r="J632" i="1" s="1"/>
  <c r="C39" i="10"/>
  <c r="H192" i="1"/>
  <c r="G628" i="1" s="1"/>
  <c r="J628" i="1" s="1"/>
  <c r="E103" i="2"/>
  <c r="C36" i="10"/>
  <c r="F192" i="1"/>
  <c r="G626" i="1" s="1"/>
  <c r="J626" i="1" s="1"/>
  <c r="C62" i="2"/>
  <c r="C103" i="2" s="1"/>
  <c r="C114" i="2"/>
  <c r="H659" i="1"/>
  <c r="H663" i="1" s="1"/>
  <c r="J646" i="1"/>
  <c r="H647" i="1"/>
  <c r="J647" i="1" s="1"/>
  <c r="C50" i="2"/>
  <c r="F659" i="1"/>
  <c r="C28" i="10"/>
  <c r="D22" i="10" s="1"/>
  <c r="C140" i="2"/>
  <c r="C143" i="2" s="1"/>
  <c r="L407" i="1"/>
  <c r="D31" i="13"/>
  <c r="C31" i="13" s="1"/>
  <c r="I660" i="1"/>
  <c r="F33" i="13"/>
  <c r="C127" i="2"/>
  <c r="E143" i="2"/>
  <c r="G551" i="1"/>
  <c r="K548" i="1"/>
  <c r="K551" i="1" s="1"/>
  <c r="L256" i="1"/>
  <c r="L270" i="1" s="1"/>
  <c r="G631" i="1" s="1"/>
  <c r="J631" i="1" s="1"/>
  <c r="L544" i="1"/>
  <c r="I460" i="1"/>
  <c r="H641" i="1" s="1"/>
  <c r="J641" i="1" s="1"/>
  <c r="C25" i="13"/>
  <c r="H33" i="13"/>
  <c r="E127" i="2"/>
  <c r="E33" i="13"/>
  <c r="D35" i="13" s="1"/>
  <c r="G630" i="1"/>
  <c r="J630" i="1" s="1"/>
  <c r="G192" i="1"/>
  <c r="G627" i="1" s="1"/>
  <c r="J627" i="1" s="1"/>
  <c r="G625" i="1"/>
  <c r="J625" i="1" s="1"/>
  <c r="J51" i="1"/>
  <c r="H620" i="1" s="1"/>
  <c r="J620" i="1" s="1"/>
  <c r="C38" i="10"/>
  <c r="E144" i="2" l="1"/>
  <c r="G666" i="1"/>
  <c r="D33" i="13"/>
  <c r="D36" i="13" s="1"/>
  <c r="C144" i="2"/>
  <c r="D27" i="10"/>
  <c r="D13" i="10"/>
  <c r="D24" i="10"/>
  <c r="D25" i="10"/>
  <c r="D21" i="10"/>
  <c r="D12" i="10"/>
  <c r="D20" i="10"/>
  <c r="D18" i="10"/>
  <c r="D17" i="10"/>
  <c r="D10" i="10"/>
  <c r="C30" i="10"/>
  <c r="D23" i="10"/>
  <c r="H666" i="1"/>
  <c r="H671" i="1"/>
  <c r="C6" i="10" s="1"/>
  <c r="G636" i="1"/>
  <c r="J636" i="1" s="1"/>
  <c r="H645" i="1"/>
  <c r="J645" i="1" s="1"/>
  <c r="D26" i="10"/>
  <c r="D16" i="10"/>
  <c r="F663" i="1"/>
  <c r="I659" i="1"/>
  <c r="I663" i="1" s="1"/>
  <c r="I671" i="1" s="1"/>
  <c r="C7" i="10" s="1"/>
  <c r="D15" i="10"/>
  <c r="D19" i="10"/>
  <c r="D11" i="10"/>
  <c r="C41" i="10"/>
  <c r="D38" i="10" s="1"/>
  <c r="D28" i="10" l="1"/>
  <c r="I666" i="1"/>
  <c r="H655" i="1"/>
  <c r="F671" i="1"/>
  <c r="C4" i="10" s="1"/>
  <c r="F66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<sst xmlns="http://schemas.openxmlformats.org/spreadsheetml/2006/main" count="3948" uniqueCount="914">
  <si>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</si>
  <si>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</si>
  <si>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</si>
  <si>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</si>
  <si>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</si>
  <si>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</si>
  <si>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</si>
  <si>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</si>
  <si>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</si>
  <si>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</si>
  <si>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</si>
  <si>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</si>
  <si>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</si>
  <si>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</si>
  <si>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</si>
  <si>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</si>
  <si>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</si>
  <si>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</si>
  <si>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</si>
  <si>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</si>
  <si>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</si>
  <si>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</si>
  <si>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</si>
  <si>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</si>
  <si>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</si>
  <si>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</si>
  <si>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</si>
  <si>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</si>
  <si>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</si>
  <si>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</si>
  <si>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</si>
  <si>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</si>
  <si>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</si>
  <si>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</si>
  <si>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</si>
  <si>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</si>
  <si>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</si>
  <si>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</si>
  <si>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</si>
  <si>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</si>
  <si>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</si>
  <si>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</si>
  <si>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</si>
  <si>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</si>
  <si>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</si>
  <si>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</si>
  <si>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</si>
  <si>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</si>
  <si>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</si>
  <si>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</si>
  <si>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</si>
  <si>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</si>
  <si>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</si>
  <si>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</si>
  <si>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</si>
  <si>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</si>
  <si>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</si>
  <si>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</si>
  <si>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</si>
  <si>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</si>
  <si>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</si>
  <si>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</si>
  <si>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</si>
  <si>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</si>
  <si>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</si>
  <si>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</si>
  <si>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</si>
  <si>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</si>
  <si>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</si>
  <si>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</si>
  <si>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</si>
  <si>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</si>
  <si>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</si>
  <si>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</si>
  <si>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</si>
  <si>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</si>
  <si>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</si>
  <si>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</si>
  <si>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</si>
  <si>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</si>
  <si>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</si>
  <si>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</si>
  <si>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</si>
  <si>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</si>
  <si>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</si>
  <si>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</si>
  <si>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</si>
  <si>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</si>
  <si>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</si>
  <si>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</si>
  <si>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</si>
  <si>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</si>
  <si>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</si>
  <si>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</si>
  <si>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</si>
  <si>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</si>
  <si>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</si>
  <si>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</si>
  <si>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</si>
  <si>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</si>
  <si>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</si>
  <si>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</si>
  <si>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</si>
  <si>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</si>
  <si>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</si>
  <si>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</si>
  <si>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</si>
  <si>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</si>
  <si>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</si>
  <si>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</si>
  <si>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</si>
  <si>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</si>
  <si>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</si>
  <si>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</si>
  <si>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</si>
  <si>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</si>
  <si>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</si>
  <si>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</si>
  <si>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</si>
  <si>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</si>
  <si>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</si>
  <si>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</si>
  <si>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</si>
  <si>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</si>
  <si>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</si>
  <si>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</si>
  <si>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</si>
  <si>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</si>
  <si>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</si>
  <si>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</si>
  <si>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</si>
  <si>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</si>
  <si>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</si>
  <si>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</si>
  <si>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</si>
  <si>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</si>
  <si>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</si>
  <si>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</si>
  <si>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</si>
  <si>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</si>
  <si>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</si>
  <si>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</si>
  <si>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</si>
  <si>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</si>
  <si>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</si>
  <si>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</si>
  <si>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</si>
  <si>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</si>
  <si>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</si>
  <si>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</si>
  <si>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</si>
  <si>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</si>
  <si>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</si>
  <si>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</si>
  <si>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</si>
  <si>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</si>
  <si>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</si>
  <si>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</si>
  <si>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</si>
  <si>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</si>
  <si>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</si>
  <si>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</si>
  <si>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</si>
  <si>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</si>
  <si>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</si>
  <si>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</si>
  <si>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</si>
  <si>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</si>
  <si>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</si>
  <si>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</si>
  <si>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</si>
  <si>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</si>
  <si>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</si>
  <si>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</si>
  <si>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</si>
  <si>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</si>
  <si>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</si>
  <si>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</si>
  <si>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</si>
  <si>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</si>
  <si>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</si>
  <si>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</si>
  <si>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</si>
  <si>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</si>
  <si>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</si>
  <si>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</si>
  <si>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</si>
  <si>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</si>
  <si>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</si>
  <si>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</si>
  <si>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</si>
  <si>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</si>
  <si>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</si>
  <si>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</si>
  <si>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</si>
  <si>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</si>
  <si>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</si>
  <si>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</si>
  <si>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</si>
  <si>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</si>
  <si>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</si>
  <si>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</si>
  <si>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</si>
  <si>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</si>
  <si>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</si>
  <si>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</si>
  <si>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</si>
  <si>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</si>
  <si>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</si>
  <si>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</si>
  <si>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</si>
  <si>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</si>
  <si>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</si>
  <si>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</si>
  <si>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</si>
  <si>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</si>
  <si>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</si>
  <si>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</si>
  <si>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</si>
  <si>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</si>
  <si>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</si>
  <si>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</si>
  <si>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</si>
  <si>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</si>
  <si>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</si>
  <si>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</si>
  <si>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</si>
  <si>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</si>
  <si>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</si>
  <si>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</si>
  <si>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</si>
  <si>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</si>
  <si>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</si>
  <si>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</si>
  <si>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</si>
  <si>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</si>
  <si>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</si>
  <si>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</si>
  <si>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</si>
  <si>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</si>
  <si>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</si>
  <si>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</si>
  <si>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</si>
  <si>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</si>
  <si>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</si>
  <si>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</si>
  <si>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</si>
  <si>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</si>
  <si>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</si>
  <si>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</si>
  <si>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</si>
  <si>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</si>
  <si>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</si>
  <si>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</si>
  <si>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</si>
  <si>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</si>
  <si>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</si>
  <si>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</si>
  <si>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</si>
  <si>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</si>
  <si>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</si>
  <si>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</si>
  <si>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</si>
  <si>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</si>
  <si>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</si>
  <si>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</si>
  <si>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</si>
  <si>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</si>
  <si>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</si>
  <si>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</si>
  <si>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</si>
  <si>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</si>
  <si>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</si>
  <si>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</si>
  <si>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</si>
  <si>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</si>
  <si>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</si>
  <si>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</si>
  <si>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</si>
  <si>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</si>
  <si>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</si>
  <si>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</si>
  <si>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</si>
  <si>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</si>
  <si>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</si>
  <si>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</si>
  <si>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</si>
  <si>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</si>
  <si>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</si>
  <si>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</si>
  <si>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</si>
  <si>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</si>
  <si>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</si>
  <si>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</si>
  <si>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</si>
  <si>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</si>
  <si>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</si>
  <si>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</si>
  <si>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</si>
  <si>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</si>
  <si>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</si>
  <si>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</si>
  <si>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</si>
  <si>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</si>
  <si>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</si>
  <si>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</si>
  <si>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</si>
  <si>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</si>
  <si>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</si>
  <si>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</si>
  <si>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</si>
  <si>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</si>
  <si>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</si>
  <si>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</si>
  <si>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</si>
  <si>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</si>
  <si>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</si>
  <si>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</si>
  <si>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</si>
  <si>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</si>
  <si>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</si>
  <si>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</si>
  <si>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</si>
  <si>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</si>
  <si>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</si>
  <si>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</si>
  <si>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</si>
  <si>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</si>
  <si>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</si>
  <si>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</si>
  <si>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</si>
  <si>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</si>
  <si>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</si>
  <si>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</si>
  <si>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</si>
  <si>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</si>
  <si>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</si>
  <si>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</si>
  <si>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</si>
  <si>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</si>
  <si>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</si>
  <si>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</si>
  <si>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</si>
  <si>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</si>
  <si>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</si>
  <si>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</si>
  <si>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</si>
  <si>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</si>
  <si>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</si>
  <si>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</si>
  <si>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</si>
  <si>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</si>
  <si>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</si>
  <si>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</si>
  <si>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</si>
  <si>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</si>
  <si>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</si>
  <si>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</si>
  <si>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</si>
  <si>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</si>
  <si>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</si>
  <si>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</si>
  <si>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</si>
  <si>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</si>
  <si>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</si>
  <si>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</si>
  <si>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</si>
  <si>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</si>
  <si>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</si>
  <si>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</si>
  <si>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</si>
  <si>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</si>
  <si>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</si>
  <si>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</si>
  <si>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</si>
  <si>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</si>
  <si>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</si>
  <si>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</si>
  <si>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</si>
  <si>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</si>
  <si>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</si>
  <si>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</si>
  <si>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</si>
  <si>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</si>
  <si>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</si>
  <si>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</si>
  <si>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</si>
  <si>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</si>
  <si>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</si>
  <si>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</si>
  <si>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</si>
  <si>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</si>
  <si>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</si>
  <si>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</si>
  <si>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</si>
  <si>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</si>
  <si>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</si>
  <si>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</si>
  <si>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</si>
  <si>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</si>
  <si>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</si>
  <si>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</si>
  <si>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</si>
  <si>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</si>
  <si>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</si>
  <si>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</si>
  <si>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</si>
  <si>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</si>
  <si>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</si>
  <si>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</si>
  <si>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</si>
  <si>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</si>
  <si>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</si>
  <si>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</si>
  <si>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</si>
  <si>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</si>
  <si>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</si>
  <si>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</si>
  <si>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</si>
  <si>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</si>
  <si>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</si>
  <si>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</si>
  <si>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</si>
  <si>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</si>
  <si>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</si>
  <si>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</si>
  <si>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</si>
  <si>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</si>
  <si>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</si>
  <si>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</si>
  <si>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</si>
  <si>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</si>
  <si>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</si>
  <si>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</si>
  <si>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</si>
  <si>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</si>
  <si>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</si>
  <si>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</si>
  <si>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</si>
  <si>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</si>
  <si>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</si>
  <si>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</si>
  <si>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</si>
  <si>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</si>
  <si>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</si>
  <si>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</si>
  <si>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</si>
  <si>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</si>
  <si>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</si>
  <si>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</si>
  <si>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</si>
  <si>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</si>
  <si>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</si>
  <si>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</si>
  <si>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</si>
  <si>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</si>
  <si>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</si>
  <si>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</si>
  <si>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</si>
  <si>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</si>
  <si>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</si>
  <si>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</si>
  <si>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</si>
  <si>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</si>
  <si>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</si>
  <si>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</si>
  <si>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</si>
  <si>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</si>
  <si>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</si>
  <si>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</si>
  <si>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</si>
  <si>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</si>
  <si>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</si>
  <si>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</si>
  <si>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</si>
  <si>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</si>
  <si>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</si>
  <si>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</si>
  <si>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</si>
  <si>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</si>
  <si>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</si>
  <si>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</si>
  <si>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</si>
  <si>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</si>
  <si>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</si>
  <si>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</si>
  <si>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</si>
  <si>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</si>
  <si>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</si>
  <si>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</si>
  <si>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</si>
  <si>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</si>
  <si>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</si>
  <si>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</si>
  <si>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</si>
  <si>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</si>
  <si>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</si>
  <si>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</si>
  <si>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</si>
  <si>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</si>
  <si>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</si>
  <si>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</si>
  <si>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</si>
  <si>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</si>
  <si>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</si>
  <si>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</si>
  <si>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</si>
  <si>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</si>
  <si>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</si>
  <si>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</si>
  <si>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</si>
  <si>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</si>
  <si>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</si>
  <si>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</si>
  <si>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</si>
  <si>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</si>
  <si>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</si>
  <si>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</si>
  <si>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</si>
  <si>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</si>
  <si>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</si>
  <si>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</si>
  <si>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</si>
  <si>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</si>
  <si>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</si>
  <si>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</si>
  <si>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</si>
  <si>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</si>
  <si>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</si>
  <si>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</si>
  <si>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</si>
  <si>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</si>
  <si>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</si>
  <si>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</si>
  <si>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</si>
  <si>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</si>
  <si>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</si>
  <si>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</si>
  <si>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</si>
  <si>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</si>
  <si>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</si>
  <si>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</si>
  <si>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</si>
  <si>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</si>
  <si>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</si>
  <si>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</si>
  <si>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</si>
  <si>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</si>
  <si>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</si>
  <si>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</si>
  <si>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</si>
  <si>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</si>
  <si>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</si>
  <si>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</si>
  <si>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</si>
  <si>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</si>
  <si>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</si>
  <si>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</si>
  <si>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</si>
  <si>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</si>
  <si>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</si>
  <si>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</si>
  <si>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</si>
  <si>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</si>
  <si>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</si>
  <si>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</si>
  <si>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</si>
  <si>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</si>
  <si>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</si>
  <si>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</si>
  <si>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</si>
  <si>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</si>
  <si>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</si>
  <si>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</si>
  <si>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</si>
  <si>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</si>
  <si>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</si>
  <si>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</si>
  <si>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</si>
  <si>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</si>
  <si>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</si>
  <si>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</si>
  <si>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</si>
  <si>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</si>
  <si>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</si>
  <si>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</si>
  <si>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</si>
  <si>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</si>
  <si>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</si>
  <si>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</si>
  <si>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</si>
  <si>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</si>
  <si>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</si>
  <si>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</si>
  <si>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</si>
  <si>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</si>
  <si>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</si>
  <si>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</si>
  <si>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</si>
  <si>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</si>
  <si>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</si>
  <si>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</si>
  <si>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</si>
  <si>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</si>
  <si>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</si>
  <si>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</si>
  <si>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</si>
  <si>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</si>
  <si>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</si>
  <si>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</si>
  <si>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</si>
  <si>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</si>
  <si>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</si>
  <si>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</si>
  <si>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</si>
  <si>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</si>
  <si>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</si>
  <si>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</si>
  <si>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</si>
  <si>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</si>
  <si>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</si>
  <si>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</si>
  <si>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</si>
  <si>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</si>
  <si>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</si>
  <si>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</si>
  <si>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</si>
  <si>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</si>
  <si>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</si>
  <si>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</si>
  <si>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</si>
  <si>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</si>
  <si>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</si>
  <si>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</si>
  <si>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</si>
  <si>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</si>
  <si>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</si>
  <si>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</si>
  <si>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</si>
  <si>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</si>
  <si>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</si>
  <si>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</si>
  <si>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</si>
  <si>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</si>
  <si>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</si>
  <si>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</si>
  <si>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</si>
  <si>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</si>
  <si>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</si>
  <si>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</si>
  <si>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</si>
  <si>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</si>
  <si>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</si>
  <si>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</si>
  <si>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</si>
  <si>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</si>
  <si>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</si>
  <si>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</si>
  <si>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</si>
  <si>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</si>
  <si>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</si>
  <si>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</si>
  <si>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</si>
  <si>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</si>
  <si>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</si>
  <si>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</si>
  <si>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</si>
  <si>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</si>
  <si>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</si>
  <si>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</si>
  <si>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</si>
  <si>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</si>
  <si>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</si>
  <si>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</si>
  <si>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</si>
  <si>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</si>
  <si>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</si>
  <si>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</si>
  <si>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</si>
  <si>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</si>
  <si>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</si>
  <si>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</si>
  <si>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</si>
  <si>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</si>
  <si>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</si>
  <si>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</si>
  <si>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</si>
  <si>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</si>
  <si>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</si>
  <si>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</si>
  <si>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</si>
  <si>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</si>
  <si>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</si>
  <si>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</si>
  <si>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</si>
  <si>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</si>
  <si>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</si>
  <si>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</si>
  <si>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</si>
  <si>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</si>
  <si>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</si>
  <si>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</si>
  <si>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</si>
  <si>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</si>
  <si>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</si>
  <si>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</si>
  <si>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</si>
  <si>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</si>
  <si>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</si>
  <si>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</si>
  <si>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</si>
  <si>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</si>
  <si>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</si>
  <si>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</si>
  <si>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</si>
  <si>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</si>
  <si>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</si>
  <si>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</si>
  <si>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</si>
  <si>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</si>
  <si>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</si>
  <si>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</si>
  <si>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</si>
  <si>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</si>
  <si>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</si>
  <si>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</si>
  <si>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</si>
  <si>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</si>
  <si>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</si>
  <si>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</si>
  <si>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</si>
  <si>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</si>
  <si>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</si>
  <si>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</si>
  <si>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</si>
  <si>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</si>
  <si>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</si>
  <si>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</si>
  <si>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</si>
  <si>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</si>
  <si>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</si>
  <si>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</si>
  <si>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</si>
  <si>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</si>
  <si>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</si>
  <si>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</si>
  <si>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</si>
  <si>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</si>
  <si>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</si>
  <si>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</si>
  <si>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</si>
  <si>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</si>
  <si>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</si>
  <si>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</si>
  <si>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</si>
  <si>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</si>
  <si>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</si>
  <si>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</si>
  <si>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</si>
  <si>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</si>
  <si>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</si>
  <si>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</si>
  <si>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</si>
  <si>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</si>
  <si>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</si>
  <si>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</si>
  <si>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</si>
  <si>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</si>
  <si>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</si>
  <si>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</si>
  <si>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</si>
  <si>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</si>
  <si>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</si>
  <si>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</si>
  <si>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</si>
  <si>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</si>
  <si>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</si>
  <si>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</si>
  <si>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</si>
  <si>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</si>
  <si>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</si>
  <si>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</si>
  <si>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</si>
  <si>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</si>
  <si>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</si>
  <si>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</si>
  <si>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</si>
  <si>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</si>
  <si>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</si>
  <si>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</si>
  <si>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</si>
  <si>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</si>
  <si>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</si>
  <si>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</si>
  <si>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</si>
  <si>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</si>
  <si>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</si>
  <si>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</si>
  <si>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</si>
  <si>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</si>
  <si>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</si>
  <si>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</si>
  <si>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</si>
  <si>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</si>
  <si>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</si>
  <si>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</si>
  <si>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</si>
  <si>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</si>
  <si>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</si>
  <si>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</si>
  <si>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</si>
  <si>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</si>
  <si>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</si>
  <si>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</si>
  <si>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</si>
  <si>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</si>
  <si>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</si>
  <si>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</si>
  <si>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</si>
  <si>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</si>
  <si>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</si>
  <si>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</si>
  <si>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</si>
  <si>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</si>
  <si>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</si>
  <si>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</si>
  <si>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</si>
  <si>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</si>
  <si>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</si>
  <si>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</si>
  <si>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</si>
  <si>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</si>
  <si>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</si>
  <si>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</si>
  <si>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</si>
  <si>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</si>
  <si>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</si>
  <si>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</si>
  <si>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</si>
  <si>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</si>
  <si>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</si>
  <si>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</si>
  <si>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</si>
  <si>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</si>
  <si>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</si>
  <si>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</si>
  <si>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</si>
  <si>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</si>
  <si>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</si>
  <si>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</si>
  <si>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</si>
  <si>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</si>
  <si>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</si>
  <si>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</si>
  <si>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</si>
  <si>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</si>
  <si>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</si>
  <si>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</si>
  <si>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</si>
  <si>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</si>
  <si>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</si>
  <si>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</si>
  <si>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</si>
  <si>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</si>
  <si>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</si>
  <si>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</si>
  <si>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</si>
  <si>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</si>
  <si>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</si>
  <si>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</si>
  <si>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</si>
  <si>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</si>
  <si>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</si>
  <si>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</si>
  <si>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</si>
  <si>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</si>
  <si>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</si>
  <si>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</si>
  <si>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</si>
  <si>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</si>
  <si>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</si>
  <si>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</si>
  <si>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</si>
  <si>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</si>
  <si>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</si>
  <si>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</si>
  <si>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</si>
  <si>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</si>
  <si>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</si>
  <si>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</si>
  <si>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</si>
  <si>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</si>
  <si>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</si>
  <si>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</si>
  <si>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</si>
  <si>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</si>
  <si>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</si>
  <si>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</si>
  <si>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</si>
  <si>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</si>
  <si>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</si>
  <si>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</si>
  <si>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</si>
  <si>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</si>
  <si>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</si>
  <si>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</si>
  <si>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</si>
  <si>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</si>
  <si>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</si>
  <si>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MERRIMACK VALLEY REGIONAL SCHOOL DISTRICT</t>
  </si>
  <si>
    <t>Prior period adjustment to fund balance.</t>
  </si>
  <si>
    <t>Prior Period Adjustment to food service fund balance.</t>
  </si>
  <si>
    <t>10/14</t>
  </si>
  <si>
    <t>06/05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</si>
</sst>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5"/>
  <sheetViews>
    <sheetView tabSelected="1" zoomScale="90" zoomScaleNormal="9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352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2349828.73</f>
        <v>2349828.73</v>
      </c>
      <c r="G9" s="18">
        <v>406123.25</v>
      </c>
      <c r="H9" s="18"/>
      <c r="I9" s="18">
        <v>270689.46000000002</v>
      </c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f>2326.14+32168.19</f>
        <v>34494.33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821292.06</v>
      </c>
      <c r="G12" s="18"/>
      <c r="H12" s="18">
        <f>52669.41+66344.83+14523.87</f>
        <v>133538.11000000002</v>
      </c>
      <c r="I12" s="18">
        <v>1169.02</v>
      </c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85725.94</v>
      </c>
      <c r="G13" s="18">
        <v>216074.25</v>
      </c>
      <c r="H13" s="18">
        <f>364717.94+21388.79</f>
        <v>386106.73</v>
      </c>
      <c r="I13" s="18"/>
      <c r="J13" s="67">
        <f>SUM(I441)</f>
        <v>539459.46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5688.14+3637.47-575</f>
        <v>8750.61</v>
      </c>
      <c r="G14" s="18">
        <v>620.5</v>
      </c>
      <c r="H14" s="18">
        <f>14790</f>
        <v>14790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16919.41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3300091.67</v>
      </c>
      <c r="G19" s="41">
        <f>SUM(G9:G18)</f>
        <v>639737.41</v>
      </c>
      <c r="H19" s="41">
        <f>SUM(H9:H18)</f>
        <v>534434.84</v>
      </c>
      <c r="I19" s="41">
        <f>SUM(I9:I18)</f>
        <v>271858.48000000004</v>
      </c>
      <c r="J19" s="41">
        <f>SUM(J9:J18)</f>
        <v>539459.46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29028.47</v>
      </c>
      <c r="G22" s="18">
        <f>605453.99-29028.47</f>
        <v>576425.52</v>
      </c>
      <c r="H22" s="18">
        <f>269835.84+28039.95</f>
        <v>297875.79000000004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383264.06</v>
      </c>
      <c r="G24" s="18">
        <v>17644</v>
      </c>
      <c r="H24" s="18">
        <f>15349.87+198.06</f>
        <v>15547.93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1770324.15-156.15+2858.85-0.01+605.56</f>
        <v>1773632.4000000001</v>
      </c>
      <c r="G28" s="18">
        <v>45667.89</v>
      </c>
      <c r="H28" s="18">
        <f>79532.23+3498.64</f>
        <v>83030.87</v>
      </c>
      <c r="I28" s="18">
        <v>205791.66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f>98833.02+21921.2+0.02</f>
        <v>120754.24000000001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2185924.9300000002</v>
      </c>
      <c r="G32" s="41">
        <f>SUM(G22:G31)</f>
        <v>639737.41</v>
      </c>
      <c r="H32" s="41">
        <f>SUM(H22:H31)</f>
        <v>517208.83</v>
      </c>
      <c r="I32" s="41">
        <f>SUM(I22:I31)</f>
        <v>205791.66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16919.41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-16919.41</v>
      </c>
      <c r="H47" s="18">
        <v>17226.009999999998</v>
      </c>
      <c r="I47" s="18">
        <v>66066.820000000007</v>
      </c>
      <c r="J47" s="13">
        <f>SUM(I458)</f>
        <v>539459.46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43280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1114166.74-43280</f>
        <v>1070886.74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1114166.74</v>
      </c>
      <c r="G50" s="41">
        <f>SUM(G35:G49)</f>
        <v>0</v>
      </c>
      <c r="H50" s="41">
        <f>SUM(H35:H49)</f>
        <v>17226.009999999998</v>
      </c>
      <c r="I50" s="41">
        <f>SUM(I35:I49)</f>
        <v>66066.820000000007</v>
      </c>
      <c r="J50" s="41">
        <f>SUM(J35:J49)</f>
        <v>539459.46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3300091.67</v>
      </c>
      <c r="G51" s="41">
        <f>G50+G32</f>
        <v>639737.41</v>
      </c>
      <c r="H51" s="41">
        <f>H50+H32</f>
        <v>534434.84</v>
      </c>
      <c r="I51" s="41">
        <f>I50+I32</f>
        <v>271858.48</v>
      </c>
      <c r="J51" s="41">
        <f>J50+J32</f>
        <v>539459.46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18307472.02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18307472.02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12050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838546.1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111658.85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962254.95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6505.66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6505.66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f>13.66+25.1</f>
        <v>38.760000000000005</v>
      </c>
      <c r="G95" s="18">
        <v>43.02</v>
      </c>
      <c r="H95" s="18"/>
      <c r="I95" s="18">
        <v>78.09</v>
      </c>
      <c r="J95" s="18">
        <v>2395.23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52106.55+33181.58+50516.88+13409.43+15775.82+160099.99+300034.81</f>
        <v>625125.06000000006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9213.4599999999991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3729.97</v>
      </c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42421.1</v>
      </c>
      <c r="G109" s="18">
        <v>22051.95</v>
      </c>
      <c r="H109" s="18">
        <v>60679.67</v>
      </c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55403.289999999994</v>
      </c>
      <c r="G110" s="41">
        <f>SUM(G95:G109)</f>
        <v>647220.03</v>
      </c>
      <c r="H110" s="41">
        <f>SUM(H95:H109)</f>
        <v>60679.67</v>
      </c>
      <c r="I110" s="41">
        <f>SUM(I95:I109)</f>
        <v>78.09</v>
      </c>
      <c r="J110" s="41">
        <f>SUM(J95:J109)</f>
        <v>2395.23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19331635.919999998</v>
      </c>
      <c r="G111" s="41">
        <f>G59+G110</f>
        <v>647220.03</v>
      </c>
      <c r="H111" s="41">
        <f>H59+H78+H93+H110</f>
        <v>60679.67</v>
      </c>
      <c r="I111" s="41">
        <f>I59+I110</f>
        <v>78.09</v>
      </c>
      <c r="J111" s="41">
        <f>J59+J110</f>
        <v>2395.23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9723643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3333559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13057202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1347331.25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154793.31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19159.71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12911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1521284.27</v>
      </c>
      <c r="G135" s="41">
        <f>SUM(G122:G134)</f>
        <v>12911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14578486.27</v>
      </c>
      <c r="G139" s="41">
        <f>G120+SUM(G135:G136)</f>
        <v>12911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v>37526.99</v>
      </c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526111.42000000004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173970</f>
        <v>173970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383155.47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574322.98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320959.2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f>31940.62</f>
        <v>31940.62</v>
      </c>
      <c r="H160" s="18">
        <f>33587.8+6601.02</f>
        <v>40188.820000000007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320959.2</v>
      </c>
      <c r="G161" s="41">
        <f>SUM(G149:G160)</f>
        <v>415096.08999999997</v>
      </c>
      <c r="H161" s="41">
        <f>SUM(H149:H160)</f>
        <v>1352120.2100000002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>
        <v>42535.35</v>
      </c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320959.2</v>
      </c>
      <c r="G168" s="41">
        <f>G146+G161+SUM(G162:G167)</f>
        <v>457631.43999999994</v>
      </c>
      <c r="H168" s="41">
        <f>H146+H161+SUM(H162:H167)</f>
        <v>1352120.2100000002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29028.47</v>
      </c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29028.47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29028.47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34231081.390000001</v>
      </c>
      <c r="G192" s="47">
        <f>G111+G139+G168+G191</f>
        <v>1146790.94</v>
      </c>
      <c r="H192" s="47">
        <f>H111+H139+H168+H191</f>
        <v>1412799.8800000001</v>
      </c>
      <c r="I192" s="47">
        <f>I111+I139+I168+I191</f>
        <v>78.09</v>
      </c>
      <c r="J192" s="47">
        <f>J111+J139+J191</f>
        <v>2395.23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3651564.29+118683.28</f>
        <v>3770247.57</v>
      </c>
      <c r="G196" s="18">
        <v>1392652.48</v>
      </c>
      <c r="H196" s="18">
        <v>1692.47</v>
      </c>
      <c r="I196" s="18">
        <f>109708.42+59888.04</f>
        <v>169596.46</v>
      </c>
      <c r="J196" s="18">
        <v>8328.2900000000009</v>
      </c>
      <c r="K196" s="18"/>
      <c r="L196" s="19">
        <f>SUM(F196:K196)</f>
        <v>5342517.2699999996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1528343.11+31787.89</f>
        <v>1560131</v>
      </c>
      <c r="G197" s="18">
        <v>626003.36</v>
      </c>
      <c r="H197" s="18">
        <f>390835.2+56890.77</f>
        <v>447725.97000000003</v>
      </c>
      <c r="I197" s="18">
        <f>3278.82+1682.2</f>
        <v>4961.0200000000004</v>
      </c>
      <c r="J197" s="18">
        <v>542.29</v>
      </c>
      <c r="K197" s="18"/>
      <c r="L197" s="19">
        <f>SUM(F197:K197)</f>
        <v>2639363.64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14750</v>
      </c>
      <c r="G199" s="18">
        <v>25850.16</v>
      </c>
      <c r="H199" s="18"/>
      <c r="I199" s="18"/>
      <c r="J199" s="18"/>
      <c r="K199" s="18">
        <v>113.28</v>
      </c>
      <c r="L199" s="19">
        <f>SUM(F199:K199)</f>
        <v>40713.440000000002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618266.43+373045.13</f>
        <v>991311.56</v>
      </c>
      <c r="G201" s="18">
        <v>396412.55</v>
      </c>
      <c r="H201" s="18">
        <f>252792.19+18184.14</f>
        <v>270976.33</v>
      </c>
      <c r="I201" s="18">
        <f>6350.15+699.79</f>
        <v>7049.94</v>
      </c>
      <c r="J201" s="18"/>
      <c r="K201" s="18">
        <f>40+643.6</f>
        <v>683.6</v>
      </c>
      <c r="L201" s="19">
        <f t="shared" ref="L201:L207" si="0">SUM(F201:K201)</f>
        <v>1666433.9800000002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86736.35+149494.34</f>
        <v>236230.69</v>
      </c>
      <c r="G202" s="18">
        <v>138929.47</v>
      </c>
      <c r="H202" s="18">
        <f>193.59+40531.53</f>
        <v>40725.119999999995</v>
      </c>
      <c r="I202" s="18">
        <f>10035.58+13701.19</f>
        <v>23736.77</v>
      </c>
      <c r="J202" s="18">
        <v>42755.87</v>
      </c>
      <c r="K202" s="18"/>
      <c r="L202" s="19">
        <f t="shared" si="0"/>
        <v>482377.92000000004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19263.75</v>
      </c>
      <c r="G203" s="18">
        <v>8407.4599999999991</v>
      </c>
      <c r="H203" s="18">
        <f>70.5+338834.42</f>
        <v>338904.92</v>
      </c>
      <c r="I203" s="18">
        <v>1460.06</v>
      </c>
      <c r="J203" s="18"/>
      <c r="K203" s="18">
        <v>2341.84</v>
      </c>
      <c r="L203" s="19">
        <f t="shared" si="0"/>
        <v>370378.03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542641.32999999996</v>
      </c>
      <c r="G204" s="18">
        <v>168422.37</v>
      </c>
      <c r="H204" s="18">
        <v>23962.2</v>
      </c>
      <c r="I204" s="18">
        <f>6369.14+650.31</f>
        <v>7019.4500000000007</v>
      </c>
      <c r="J204" s="18">
        <v>21453.06</v>
      </c>
      <c r="K204" s="18">
        <v>2128</v>
      </c>
      <c r="L204" s="19">
        <f t="shared" si="0"/>
        <v>765626.40999999992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>
        <v>2004.69</v>
      </c>
      <c r="I205" s="18"/>
      <c r="J205" s="18"/>
      <c r="K205" s="18"/>
      <c r="L205" s="19">
        <f t="shared" si="0"/>
        <v>2004.69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340936.69+210900.65</f>
        <v>551837.34</v>
      </c>
      <c r="G206" s="18">
        <v>230102.72</v>
      </c>
      <c r="H206" s="18">
        <f>137238.19+147765.83</f>
        <v>285004.02</v>
      </c>
      <c r="I206" s="18">
        <f>380803.66+56906.48</f>
        <v>437710.13999999996</v>
      </c>
      <c r="J206" s="18">
        <v>17500.650000000001</v>
      </c>
      <c r="K206" s="18"/>
      <c r="L206" s="19">
        <f t="shared" si="0"/>
        <v>1522154.8699999999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f>43486.8+374375.9</f>
        <v>417862.7</v>
      </c>
      <c r="G207" s="18">
        <v>138958.44</v>
      </c>
      <c r="H207" s="18">
        <v>93047.12</v>
      </c>
      <c r="I207" s="18">
        <v>116832.18</v>
      </c>
      <c r="J207" s="18">
        <v>150676.57999999999</v>
      </c>
      <c r="K207" s="18">
        <v>258.02999999999997</v>
      </c>
      <c r="L207" s="19">
        <f t="shared" si="0"/>
        <v>917635.04999999993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8104275.9400000013</v>
      </c>
      <c r="G210" s="41">
        <f t="shared" si="1"/>
        <v>3125739.0100000002</v>
      </c>
      <c r="H210" s="41">
        <f t="shared" si="1"/>
        <v>1504042.8399999999</v>
      </c>
      <c r="I210" s="41">
        <f t="shared" si="1"/>
        <v>768366.02</v>
      </c>
      <c r="J210" s="41">
        <f t="shared" si="1"/>
        <v>241256.74</v>
      </c>
      <c r="K210" s="41">
        <f t="shared" si="1"/>
        <v>5524.75</v>
      </c>
      <c r="L210" s="41">
        <f t="shared" si="1"/>
        <v>13749205.299999999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2122707.47+69846.47</f>
        <v>2192553.9400000004</v>
      </c>
      <c r="G214" s="18">
        <v>819591.91</v>
      </c>
      <c r="H214" s="18">
        <v>2048.98</v>
      </c>
      <c r="I214" s="18">
        <f>30020.76+35244.8</f>
        <v>65265.56</v>
      </c>
      <c r="J214" s="18">
        <v>20178.12</v>
      </c>
      <c r="K214" s="18"/>
      <c r="L214" s="19">
        <f>SUM(F214:K214)</f>
        <v>3099638.5100000007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618418.78+18707.53</f>
        <v>637126.31000000006</v>
      </c>
      <c r="G215" s="18">
        <v>368410.14</v>
      </c>
      <c r="H215" s="18">
        <f>25483.54+33480.87</f>
        <v>58964.41</v>
      </c>
      <c r="I215" s="18">
        <f>4454.95+989.99</f>
        <v>5444.94</v>
      </c>
      <c r="J215" s="18">
        <f>552.12+319.15</f>
        <v>871.27</v>
      </c>
      <c r="K215" s="18"/>
      <c r="L215" s="19">
        <f>SUM(F215:K215)</f>
        <v>1070817.07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65543</v>
      </c>
      <c r="G217" s="18">
        <v>15213.12</v>
      </c>
      <c r="H217" s="18"/>
      <c r="I217" s="18">
        <v>30000</v>
      </c>
      <c r="J217" s="18"/>
      <c r="K217" s="18">
        <v>66.67</v>
      </c>
      <c r="L217" s="19">
        <f>SUM(F217:K217)</f>
        <v>110822.79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355480.23+219541.33</f>
        <v>575021.55999999994</v>
      </c>
      <c r="G219" s="18">
        <v>233293.32</v>
      </c>
      <c r="H219" s="18">
        <f>96422.4+10701.57</f>
        <v>107123.97</v>
      </c>
      <c r="I219" s="18">
        <f>2128.23+411.83</f>
        <v>2540.06</v>
      </c>
      <c r="J219" s="18">
        <v>197.02</v>
      </c>
      <c r="K219" s="18">
        <f>100+378.77</f>
        <v>478.77</v>
      </c>
      <c r="L219" s="19">
        <f t="shared" ref="L219:L225" si="2">SUM(F219:K219)</f>
        <v>918654.7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72640.89+87979.13</f>
        <v>160620.02000000002</v>
      </c>
      <c r="G220" s="18">
        <v>81761.58</v>
      </c>
      <c r="H220" s="18">
        <v>23853.27</v>
      </c>
      <c r="I220" s="18">
        <f>10749.64+8063.31</f>
        <v>18812.95</v>
      </c>
      <c r="J220" s="18">
        <f>1800.45+25162.32</f>
        <v>26962.77</v>
      </c>
      <c r="K220" s="18">
        <v>27.5</v>
      </c>
      <c r="L220" s="19">
        <f t="shared" si="2"/>
        <v>312038.09000000008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11336.94</v>
      </c>
      <c r="G221" s="18">
        <v>4947.8900000000003</v>
      </c>
      <c r="H221" s="18">
        <v>199407.93</v>
      </c>
      <c r="I221" s="18">
        <v>859.26</v>
      </c>
      <c r="J221" s="18"/>
      <c r="K221" s="18">
        <v>1378.2</v>
      </c>
      <c r="L221" s="19">
        <f t="shared" si="2"/>
        <v>217930.22000000003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253170.33</v>
      </c>
      <c r="G222" s="18">
        <v>99118.49</v>
      </c>
      <c r="H222" s="18">
        <v>9746.17</v>
      </c>
      <c r="I222" s="18">
        <f>117.7+382.72</f>
        <v>500.42</v>
      </c>
      <c r="J222" s="18">
        <v>12625.37</v>
      </c>
      <c r="K222" s="18">
        <v>1344</v>
      </c>
      <c r="L222" s="19">
        <f t="shared" si="2"/>
        <v>376504.77999999997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>
        <v>1179.78</v>
      </c>
      <c r="I223" s="18"/>
      <c r="J223" s="18"/>
      <c r="K223" s="18"/>
      <c r="L223" s="19">
        <f t="shared" si="2"/>
        <v>1179.78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117267.2+124117.45</f>
        <v>241384.65</v>
      </c>
      <c r="G224" s="18">
        <v>135418.07999999999</v>
      </c>
      <c r="H224" s="18">
        <f>74237.91+86961.88</f>
        <v>161199.79</v>
      </c>
      <c r="I224" s="18">
        <f>132895.01+33490.11</f>
        <v>166385.12</v>
      </c>
      <c r="J224" s="18">
        <v>10299.33</v>
      </c>
      <c r="K224" s="18"/>
      <c r="L224" s="19">
        <f t="shared" si="2"/>
        <v>714686.97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f>6228+220324.5</f>
        <v>226552.5</v>
      </c>
      <c r="G225" s="18">
        <v>81778.63</v>
      </c>
      <c r="H225" s="18">
        <v>54759.3</v>
      </c>
      <c r="I225" s="18">
        <v>68757.070000000007</v>
      </c>
      <c r="J225" s="18">
        <v>88674.89</v>
      </c>
      <c r="K225" s="18">
        <v>151.85</v>
      </c>
      <c r="L225" s="19">
        <f t="shared" si="2"/>
        <v>520674.24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4363309.25</v>
      </c>
      <c r="G228" s="41">
        <f>SUM(G214:G227)</f>
        <v>1839533.1600000001</v>
      </c>
      <c r="H228" s="41">
        <f>SUM(H214:H227)</f>
        <v>618283.60000000009</v>
      </c>
      <c r="I228" s="41">
        <f>SUM(I214:I227)</f>
        <v>358565.38</v>
      </c>
      <c r="J228" s="41">
        <f>SUM(J214:J227)</f>
        <v>159808.77000000002</v>
      </c>
      <c r="K228" s="41">
        <f t="shared" si="3"/>
        <v>3446.99</v>
      </c>
      <c r="L228" s="41">
        <f t="shared" si="3"/>
        <v>7342947.1500000013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2363117.04+94347.6</f>
        <v>2457464.64</v>
      </c>
      <c r="G232" s="18">
        <v>1107092.95</v>
      </c>
      <c r="H232" s="18">
        <v>4117.79</v>
      </c>
      <c r="I232" s="18">
        <f>82242.1+47608.16</f>
        <v>129850.26000000001</v>
      </c>
      <c r="J232" s="18">
        <v>15838.92</v>
      </c>
      <c r="K232" s="18"/>
      <c r="L232" s="19">
        <f>SUM(F232:K232)</f>
        <v>3714364.5599999996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901870.44+25269.87</f>
        <v>927140.30999999994</v>
      </c>
      <c r="G233" s="18">
        <v>497643.1</v>
      </c>
      <c r="H233" s="18">
        <f>464101.6+45225.48</f>
        <v>509327.07999999996</v>
      </c>
      <c r="I233" s="18">
        <f>3282.65+1337.27</f>
        <v>4619.92</v>
      </c>
      <c r="J233" s="18">
        <f>638+431.1</f>
        <v>1069.0999999999999</v>
      </c>
      <c r="K233" s="18"/>
      <c r="L233" s="19">
        <f>SUM(F233:K233)</f>
        <v>1939799.5099999998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154614.98000000001</v>
      </c>
      <c r="I234" s="18"/>
      <c r="J234" s="18"/>
      <c r="K234" s="18"/>
      <c r="L234" s="19">
        <f>SUM(F234:K234)</f>
        <v>154614.98000000001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249329.7</v>
      </c>
      <c r="G235" s="18">
        <v>20549.66</v>
      </c>
      <c r="H235" s="18">
        <v>39660.74</v>
      </c>
      <c r="I235" s="18">
        <v>35000</v>
      </c>
      <c r="J235" s="18"/>
      <c r="K235" s="18">
        <f>4665+270</f>
        <v>4935</v>
      </c>
      <c r="L235" s="19">
        <f>SUM(F235:K235)</f>
        <v>349475.1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404036.54+296553.26</f>
        <v>700589.8</v>
      </c>
      <c r="G237" s="18">
        <v>315129.25</v>
      </c>
      <c r="H237" s="18">
        <f>172017.48+14455.53</f>
        <v>186473.01</v>
      </c>
      <c r="I237" s="18">
        <f>10056.1+556.3</f>
        <v>10612.4</v>
      </c>
      <c r="J237" s="18"/>
      <c r="K237" s="18">
        <v>511.63</v>
      </c>
      <c r="L237" s="19">
        <f t="shared" ref="L237:L243" si="4">SUM(F237:K237)</f>
        <v>1213316.0899999999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97635.35+118840.94</f>
        <v>216476.29</v>
      </c>
      <c r="G238" s="18">
        <v>110442.37</v>
      </c>
      <c r="H238" s="18">
        <f>185.54+32220.65</f>
        <v>32406.190000000002</v>
      </c>
      <c r="I238" s="18">
        <f>12900.59+10891.8</f>
        <v>23792.39</v>
      </c>
      <c r="J238" s="18">
        <f>1789.89+33988.9</f>
        <v>35778.79</v>
      </c>
      <c r="K238" s="18"/>
      <c r="L238" s="19">
        <f t="shared" si="4"/>
        <v>418896.03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15313.77</v>
      </c>
      <c r="G239" s="18">
        <v>6683.53</v>
      </c>
      <c r="H239" s="18">
        <f>344.21+269357.36-481.11</f>
        <v>269220.46000000002</v>
      </c>
      <c r="I239" s="18">
        <v>1160.68</v>
      </c>
      <c r="J239" s="18"/>
      <c r="K239" s="18">
        <v>1861.65</v>
      </c>
      <c r="L239" s="19">
        <f t="shared" si="4"/>
        <v>294240.09000000003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367407.19</v>
      </c>
      <c r="G240" s="18">
        <v>133887.82999999999</v>
      </c>
      <c r="H240" s="18">
        <v>22280.31</v>
      </c>
      <c r="I240" s="18">
        <f>-3218.36+516.97</f>
        <v>-2701.3900000000003</v>
      </c>
      <c r="J240" s="18">
        <v>17054.169999999998</v>
      </c>
      <c r="K240" s="18">
        <v>15820</v>
      </c>
      <c r="L240" s="19">
        <f t="shared" si="4"/>
        <v>553748.11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>
        <v>1593.63</v>
      </c>
      <c r="I241" s="18"/>
      <c r="J241" s="18"/>
      <c r="K241" s="18"/>
      <c r="L241" s="19">
        <f t="shared" si="4"/>
        <v>1593.63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240642.97+167656.06</f>
        <v>408299.03</v>
      </c>
      <c r="G242" s="18">
        <v>182920.8</v>
      </c>
      <c r="H242" s="18">
        <f>113045.51+117466.86</f>
        <v>230512.37</v>
      </c>
      <c r="I242" s="18">
        <f>180087.98+45237.96</f>
        <v>225325.94</v>
      </c>
      <c r="J242" s="18">
        <v>13912.19</v>
      </c>
      <c r="K242" s="18"/>
      <c r="L242" s="19">
        <f t="shared" si="4"/>
        <v>1060970.33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f>56848.44+297611.16</f>
        <v>354459.6</v>
      </c>
      <c r="G243" s="18">
        <v>110465.39</v>
      </c>
      <c r="H243" s="18">
        <v>73968.070000000007</v>
      </c>
      <c r="I243" s="18">
        <v>92876.07</v>
      </c>
      <c r="J243" s="18">
        <v>119780.77</v>
      </c>
      <c r="K243" s="18">
        <v>205.12</v>
      </c>
      <c r="L243" s="19">
        <f t="shared" si="4"/>
        <v>751755.02000000014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5696480.3300000001</v>
      </c>
      <c r="G246" s="41">
        <f t="shared" si="5"/>
        <v>2484814.8799999994</v>
      </c>
      <c r="H246" s="41">
        <f t="shared" si="5"/>
        <v>1524174.6300000001</v>
      </c>
      <c r="I246" s="41">
        <f t="shared" si="5"/>
        <v>520536.27</v>
      </c>
      <c r="J246" s="41">
        <f t="shared" si="5"/>
        <v>203433.94</v>
      </c>
      <c r="K246" s="41">
        <f t="shared" si="5"/>
        <v>23333.399999999998</v>
      </c>
      <c r="L246" s="41">
        <f t="shared" si="5"/>
        <v>10452773.449999999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306589.09000000003</v>
      </c>
      <c r="I254" s="18"/>
      <c r="J254" s="18"/>
      <c r="K254" s="18"/>
      <c r="L254" s="19">
        <f t="shared" si="6"/>
        <v>306589.09000000003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306589.09000000003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306589.09000000003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18164065.520000003</v>
      </c>
      <c r="G256" s="41">
        <f t="shared" si="8"/>
        <v>7450087.0499999989</v>
      </c>
      <c r="H256" s="41">
        <f t="shared" si="8"/>
        <v>3953090.16</v>
      </c>
      <c r="I256" s="41">
        <f t="shared" si="8"/>
        <v>1647467.67</v>
      </c>
      <c r="J256" s="41">
        <f t="shared" si="8"/>
        <v>604499.44999999995</v>
      </c>
      <c r="K256" s="41">
        <f t="shared" si="8"/>
        <v>32305.14</v>
      </c>
      <c r="L256" s="41">
        <f t="shared" si="8"/>
        <v>31851514.989999998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1980000</v>
      </c>
      <c r="L259" s="19">
        <f>SUM(F259:K259)</f>
        <v>1980000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161815+5000</f>
        <v>166815</v>
      </c>
      <c r="L260" s="19">
        <f>SUM(F260:K260)</f>
        <v>166815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29028.47</v>
      </c>
      <c r="L262" s="19">
        <f>SUM(F262:K262)</f>
        <v>29028.47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2175843.4700000002</v>
      </c>
      <c r="L269" s="41">
        <f t="shared" si="9"/>
        <v>2175843.4700000002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18164065.520000003</v>
      </c>
      <c r="G270" s="42">
        <f t="shared" si="11"/>
        <v>7450087.0499999989</v>
      </c>
      <c r="H270" s="42">
        <f t="shared" si="11"/>
        <v>3953090.16</v>
      </c>
      <c r="I270" s="42">
        <f t="shared" si="11"/>
        <v>1647467.67</v>
      </c>
      <c r="J270" s="42">
        <f t="shared" si="11"/>
        <v>604499.44999999995</v>
      </c>
      <c r="K270" s="42">
        <f t="shared" si="11"/>
        <v>2208148.6100000003</v>
      </c>
      <c r="L270" s="42">
        <f t="shared" si="11"/>
        <v>34027358.460000001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852.69</f>
        <v>852.69</v>
      </c>
      <c r="G275" s="18">
        <v>74.45</v>
      </c>
      <c r="H275" s="18">
        <v>15133.59</v>
      </c>
      <c r="I275" s="18">
        <v>1047.92</v>
      </c>
      <c r="J275" s="18"/>
      <c r="K275" s="18"/>
      <c r="L275" s="19">
        <f>SUM(F275:K275)</f>
        <v>17108.650000000001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331555.3+12371.8</f>
        <v>343927.1</v>
      </c>
      <c r="G276" s="18">
        <f>88794.67</f>
        <v>88794.67</v>
      </c>
      <c r="H276" s="18">
        <f>22211.41</f>
        <v>22211.41</v>
      </c>
      <c r="I276" s="18">
        <f>2723.03+18569.1</f>
        <v>21292.129999999997</v>
      </c>
      <c r="J276" s="18">
        <f>3337.76</f>
        <v>3337.76</v>
      </c>
      <c r="K276" s="18"/>
      <c r="L276" s="19">
        <f>SUM(F276:K276)</f>
        <v>479563.06999999995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f>16702.62+15685.92</f>
        <v>32388.54</v>
      </c>
      <c r="G278" s="18">
        <f>2689.22+2883.75</f>
        <v>5572.9699999999993</v>
      </c>
      <c r="H278" s="18">
        <f>548+1777.32</f>
        <v>2325.3199999999997</v>
      </c>
      <c r="I278" s="18">
        <f>221.85+1113.9</f>
        <v>1335.75</v>
      </c>
      <c r="J278" s="18"/>
      <c r="K278" s="18"/>
      <c r="L278" s="19">
        <f>SUM(F278:K278)</f>
        <v>41622.58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58605.440000000002</v>
      </c>
      <c r="G280" s="18">
        <v>19690.47</v>
      </c>
      <c r="H280" s="18"/>
      <c r="I280" s="18"/>
      <c r="J280" s="18"/>
      <c r="K280" s="18"/>
      <c r="L280" s="19">
        <f t="shared" ref="L280:L286" si="12">SUM(F280:K280)</f>
        <v>78295.91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29910.21</v>
      </c>
      <c r="G281" s="18">
        <v>14685.07</v>
      </c>
      <c r="H281" s="18">
        <v>33996.44</v>
      </c>
      <c r="I281" s="18"/>
      <c r="J281" s="18"/>
      <c r="K281" s="18"/>
      <c r="L281" s="19">
        <f t="shared" si="12"/>
        <v>78591.72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7715.53</v>
      </c>
      <c r="L284" s="19">
        <f t="shared" si="12"/>
        <v>7715.53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>
        <v>13904.08</v>
      </c>
      <c r="I285" s="18"/>
      <c r="J285" s="18"/>
      <c r="K285" s="18"/>
      <c r="L285" s="19">
        <f t="shared" si="12"/>
        <v>13904.08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2079.58</v>
      </c>
      <c r="I286" s="18"/>
      <c r="J286" s="18"/>
      <c r="K286" s="18"/>
      <c r="L286" s="19">
        <f t="shared" si="12"/>
        <v>2079.58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465683.98</v>
      </c>
      <c r="G289" s="42">
        <f t="shared" si="13"/>
        <v>128817.63</v>
      </c>
      <c r="H289" s="42">
        <f t="shared" si="13"/>
        <v>89650.420000000013</v>
      </c>
      <c r="I289" s="42">
        <f t="shared" si="13"/>
        <v>23675.799999999996</v>
      </c>
      <c r="J289" s="42">
        <f t="shared" si="13"/>
        <v>3337.76</v>
      </c>
      <c r="K289" s="42">
        <f t="shared" si="13"/>
        <v>7715.53</v>
      </c>
      <c r="L289" s="41">
        <f t="shared" si="13"/>
        <v>718881.11999999988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501.82</f>
        <v>501.82</v>
      </c>
      <c r="G294" s="18">
        <v>43.81</v>
      </c>
      <c r="H294" s="18">
        <v>8906.2900000000009</v>
      </c>
      <c r="I294" s="18">
        <v>616.71</v>
      </c>
      <c r="J294" s="18"/>
      <c r="K294" s="18"/>
      <c r="L294" s="19">
        <f>SUM(F294:K294)</f>
        <v>10068.630000000001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113390.49+7280.95</f>
        <v>120671.44</v>
      </c>
      <c r="G295" s="18">
        <f>52256.68</f>
        <v>52256.68</v>
      </c>
      <c r="H295" s="18">
        <f>13071.67</f>
        <v>13071.67</v>
      </c>
      <c r="I295" s="18">
        <f>1163.62+10928.13</f>
        <v>12091.75</v>
      </c>
      <c r="J295" s="18">
        <f>1964.31</f>
        <v>1964.31</v>
      </c>
      <c r="K295" s="18"/>
      <c r="L295" s="19">
        <f>SUM(F295:K295)</f>
        <v>200055.85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34489.97</v>
      </c>
      <c r="G299" s="18">
        <v>11588.06</v>
      </c>
      <c r="H299" s="18"/>
      <c r="I299" s="18"/>
      <c r="J299" s="18"/>
      <c r="K299" s="18"/>
      <c r="L299" s="19">
        <f t="shared" ref="L299:L305" si="14">SUM(F299:K299)</f>
        <v>46078.03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17602.5</v>
      </c>
      <c r="G300" s="18">
        <v>8642.33</v>
      </c>
      <c r="H300" s="18">
        <v>20007.29</v>
      </c>
      <c r="I300" s="18"/>
      <c r="J300" s="18"/>
      <c r="K300" s="18"/>
      <c r="L300" s="19">
        <f t="shared" si="14"/>
        <v>46252.12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>
        <v>4540.68</v>
      </c>
      <c r="L303" s="19">
        <f t="shared" si="14"/>
        <v>4540.68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>
        <v>8182.71</v>
      </c>
      <c r="I304" s="18"/>
      <c r="J304" s="18"/>
      <c r="K304" s="18"/>
      <c r="L304" s="19">
        <f t="shared" si="14"/>
        <v>8182.71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v>1223.8599999999999</v>
      </c>
      <c r="I305" s="18"/>
      <c r="J305" s="18"/>
      <c r="K305" s="18"/>
      <c r="L305" s="19">
        <f t="shared" si="14"/>
        <v>1223.8599999999999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173265.73</v>
      </c>
      <c r="G308" s="42">
        <f t="shared" si="15"/>
        <v>72530.87999999999</v>
      </c>
      <c r="H308" s="42">
        <f t="shared" si="15"/>
        <v>51391.82</v>
      </c>
      <c r="I308" s="42">
        <f t="shared" si="15"/>
        <v>12708.46</v>
      </c>
      <c r="J308" s="42">
        <f t="shared" si="15"/>
        <v>1964.31</v>
      </c>
      <c r="K308" s="42">
        <f t="shared" si="15"/>
        <v>4540.68</v>
      </c>
      <c r="L308" s="41">
        <f t="shared" si="15"/>
        <v>316401.88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677.85</f>
        <v>677.85</v>
      </c>
      <c r="G313" s="18">
        <v>59.18</v>
      </c>
      <c r="H313" s="18">
        <v>12030.49</v>
      </c>
      <c r="I313" s="18">
        <v>833.05</v>
      </c>
      <c r="J313" s="18"/>
      <c r="K313" s="18"/>
      <c r="L313" s="19">
        <f>SUM(F313:K313)</f>
        <v>13600.57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9835</f>
        <v>9835</v>
      </c>
      <c r="G314" s="18">
        <f>70587.57</f>
        <v>70587.570000000007</v>
      </c>
      <c r="H314" s="18">
        <f>17657.02</f>
        <v>17657.02</v>
      </c>
      <c r="I314" s="18">
        <f>56.13+14761.56</f>
        <v>14817.689999999999</v>
      </c>
      <c r="J314" s="18">
        <f>2653.36</f>
        <v>2653.36</v>
      </c>
      <c r="K314" s="18"/>
      <c r="L314" s="19">
        <f>SUM(F314:K314)</f>
        <v>115550.64000000001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f>46588.56</f>
        <v>46588.56</v>
      </c>
      <c r="G318" s="18">
        <v>15652.99</v>
      </c>
      <c r="H318" s="18"/>
      <c r="I318" s="18"/>
      <c r="J318" s="18"/>
      <c r="K318" s="18"/>
      <c r="L318" s="19">
        <f t="shared" ref="L318:L324" si="16">SUM(F318:K318)</f>
        <v>62241.549999999996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23777.21</v>
      </c>
      <c r="G319" s="18">
        <v>11673.93</v>
      </c>
      <c r="H319" s="18">
        <v>27025.56</v>
      </c>
      <c r="I319" s="18"/>
      <c r="J319" s="18"/>
      <c r="K319" s="18"/>
      <c r="L319" s="19">
        <f t="shared" si="16"/>
        <v>62476.7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>
        <v>6133.48</v>
      </c>
      <c r="L322" s="19">
        <f t="shared" si="16"/>
        <v>6133.48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>
        <v>11053.09</v>
      </c>
      <c r="I323" s="18"/>
      <c r="J323" s="18"/>
      <c r="K323" s="18"/>
      <c r="L323" s="19">
        <f t="shared" si="16"/>
        <v>11053.09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1653.17</v>
      </c>
      <c r="I324" s="18"/>
      <c r="J324" s="18"/>
      <c r="K324" s="18"/>
      <c r="L324" s="19">
        <f t="shared" si="16"/>
        <v>1653.17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80878.62</v>
      </c>
      <c r="G327" s="42">
        <f t="shared" si="17"/>
        <v>97973.670000000013</v>
      </c>
      <c r="H327" s="42">
        <f t="shared" si="17"/>
        <v>69419.33</v>
      </c>
      <c r="I327" s="42">
        <f t="shared" si="17"/>
        <v>15650.739999999998</v>
      </c>
      <c r="J327" s="42">
        <f t="shared" si="17"/>
        <v>2653.36</v>
      </c>
      <c r="K327" s="42">
        <f t="shared" si="17"/>
        <v>6133.48</v>
      </c>
      <c r="L327" s="41">
        <f t="shared" si="17"/>
        <v>272709.2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13000</v>
      </c>
      <c r="G331" s="18">
        <v>994.56</v>
      </c>
      <c r="H331" s="18">
        <f>200+4900+82.5+18053.94</f>
        <v>23236.44</v>
      </c>
      <c r="I331" s="18">
        <f>180.17+601.47</f>
        <v>781.64</v>
      </c>
      <c r="J331" s="18">
        <f>22667.03</f>
        <v>22667.03</v>
      </c>
      <c r="K331" s="18"/>
      <c r="L331" s="19">
        <f t="shared" ref="L331:L336" si="18">SUM(F331:K331)</f>
        <v>60679.67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>
        <v>5</v>
      </c>
      <c r="I334" s="18"/>
      <c r="J334" s="18">
        <f>37521.99</f>
        <v>37521.99</v>
      </c>
      <c r="K334" s="18"/>
      <c r="L334" s="19">
        <f t="shared" si="18"/>
        <v>37526.99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>
        <v>6601.02</v>
      </c>
      <c r="I335" s="18"/>
      <c r="J335" s="18"/>
      <c r="K335" s="18"/>
      <c r="L335" s="19">
        <f t="shared" si="18"/>
        <v>6601.02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13000</v>
      </c>
      <c r="G336" s="41">
        <f t="shared" si="19"/>
        <v>994.56</v>
      </c>
      <c r="H336" s="41">
        <f t="shared" si="19"/>
        <v>29842.46</v>
      </c>
      <c r="I336" s="41">
        <f t="shared" si="19"/>
        <v>781.64</v>
      </c>
      <c r="J336" s="41">
        <f t="shared" si="19"/>
        <v>60189.02</v>
      </c>
      <c r="K336" s="41">
        <f t="shared" si="19"/>
        <v>0</v>
      </c>
      <c r="L336" s="41">
        <f t="shared" si="18"/>
        <v>104807.67999999999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732828.33</v>
      </c>
      <c r="G337" s="41">
        <f t="shared" si="20"/>
        <v>300316.74000000005</v>
      </c>
      <c r="H337" s="41">
        <f t="shared" si="20"/>
        <v>240304.03</v>
      </c>
      <c r="I337" s="41">
        <f t="shared" si="20"/>
        <v>52816.639999999992</v>
      </c>
      <c r="J337" s="41">
        <f t="shared" si="20"/>
        <v>68144.45</v>
      </c>
      <c r="K337" s="41">
        <f t="shared" si="20"/>
        <v>18389.689999999999</v>
      </c>
      <c r="L337" s="41">
        <f t="shared" si="20"/>
        <v>1412799.88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732828.33</v>
      </c>
      <c r="G351" s="41">
        <f>G337</f>
        <v>300316.74000000005</v>
      </c>
      <c r="H351" s="41">
        <f>H337</f>
        <v>240304.03</v>
      </c>
      <c r="I351" s="41">
        <f>I337</f>
        <v>52816.639999999992</v>
      </c>
      <c r="J351" s="41">
        <f>J337</f>
        <v>68144.45</v>
      </c>
      <c r="K351" s="47">
        <f>K337+K350</f>
        <v>18389.689999999999</v>
      </c>
      <c r="L351" s="41">
        <f>L337+L350</f>
        <v>1412799.88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156684.73+30141.84</f>
        <v>186826.57</v>
      </c>
      <c r="G357" s="18">
        <v>35352.31</v>
      </c>
      <c r="H357" s="18">
        <f>12284.23+2110.47</f>
        <v>14394.699999999999</v>
      </c>
      <c r="I357" s="18">
        <v>217356.96</v>
      </c>
      <c r="J357" s="18">
        <v>1336.75</v>
      </c>
      <c r="K357" s="18"/>
      <c r="L357" s="13">
        <f>SUM(F357:K357)</f>
        <v>455267.29000000004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74250.55+17738.82</f>
        <v>91989.37</v>
      </c>
      <c r="G358" s="18">
        <v>20805.240000000002</v>
      </c>
      <c r="H358" s="18">
        <f>6750.28+1242.03</f>
        <v>7992.3099999999995</v>
      </c>
      <c r="I358" s="18">
        <v>135286.59</v>
      </c>
      <c r="J358" s="18"/>
      <c r="K358" s="18"/>
      <c r="L358" s="19">
        <f>SUM(F358:K358)</f>
        <v>256073.51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132664.22+23961.34</f>
        <v>156625.56</v>
      </c>
      <c r="G359" s="18">
        <v>28103.42</v>
      </c>
      <c r="H359" s="18">
        <f>8771.37+1677.72</f>
        <v>10449.09</v>
      </c>
      <c r="I359" s="18">
        <f>258080.6</f>
        <v>258080.6</v>
      </c>
      <c r="J359" s="18"/>
      <c r="K359" s="18"/>
      <c r="L359" s="19">
        <f>SUM(F359:K359)</f>
        <v>453258.67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435441.5</v>
      </c>
      <c r="G361" s="47">
        <f t="shared" si="22"/>
        <v>84260.97</v>
      </c>
      <c r="H361" s="47">
        <f t="shared" si="22"/>
        <v>32836.1</v>
      </c>
      <c r="I361" s="47">
        <f t="shared" si="22"/>
        <v>610724.15</v>
      </c>
      <c r="J361" s="47">
        <f t="shared" si="22"/>
        <v>1336.75</v>
      </c>
      <c r="K361" s="47">
        <f t="shared" si="22"/>
        <v>0</v>
      </c>
      <c r="L361" s="47">
        <f t="shared" si="22"/>
        <v>1164599.47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159323.51+16629.52+10631.46+16955.14</f>
        <v>203539.63</v>
      </c>
      <c r="G366" s="18">
        <f>120029.54+9762.53</f>
        <v>129792.06999999999</v>
      </c>
      <c r="H366" s="18">
        <f>224940.36+15817.68</f>
        <v>240758.03999999998</v>
      </c>
      <c r="I366" s="56">
        <f>SUM(F366:H366)</f>
        <v>574089.74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12027.75+1246.16+281.33+262.09</f>
        <v>13817.33</v>
      </c>
      <c r="G367" s="63">
        <f>3928.69+1565.83</f>
        <v>5494.52</v>
      </c>
      <c r="H367" s="63">
        <v>17322.560000000001</v>
      </c>
      <c r="I367" s="56">
        <f>SUM(F367:H367)</f>
        <v>36634.410000000003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217356.96</v>
      </c>
      <c r="G368" s="47">
        <f>SUM(G366:G367)</f>
        <v>135286.59</v>
      </c>
      <c r="H368" s="47">
        <f>SUM(H366:H367)</f>
        <v>258080.59999999998</v>
      </c>
      <c r="I368" s="47">
        <f>SUM(I366:I367)</f>
        <v>610724.15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>
        <v>1500</v>
      </c>
      <c r="I379" s="18"/>
      <c r="J379" s="18"/>
      <c r="K379" s="18"/>
      <c r="L379" s="13">
        <f t="shared" si="23"/>
        <v>1500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1500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1500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689.87</v>
      </c>
      <c r="I395" s="18"/>
      <c r="J395" s="24" t="s">
        <v>289</v>
      </c>
      <c r="K395" s="24" t="s">
        <v>289</v>
      </c>
      <c r="L395" s="56">
        <f t="shared" si="26"/>
        <v>689.87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1954.52</v>
      </c>
      <c r="I396" s="18"/>
      <c r="J396" s="24" t="s">
        <v>289</v>
      </c>
      <c r="K396" s="24" t="s">
        <v>289</v>
      </c>
      <c r="L396" s="56">
        <f t="shared" si="26"/>
        <v>1954.52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-249.16</v>
      </c>
      <c r="I399" s="18"/>
      <c r="J399" s="24" t="s">
        <v>289</v>
      </c>
      <c r="K399" s="24" t="s">
        <v>289</v>
      </c>
      <c r="L399" s="56">
        <f t="shared" si="26"/>
        <v>-249.16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2395.23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2395.23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2395.23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2395.23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>
        <v>98550.29</v>
      </c>
      <c r="I425" s="18"/>
      <c r="J425" s="18"/>
      <c r="K425" s="18"/>
      <c r="L425" s="56">
        <f t="shared" si="29"/>
        <v>98550.29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98550.29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98550.29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98550.29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98550.29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>
        <v>539459.46</v>
      </c>
      <c r="H441" s="18"/>
      <c r="I441" s="56">
        <f t="shared" si="33"/>
        <v>539459.46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539459.46</v>
      </c>
      <c r="H445" s="13">
        <f>SUM(H438:H444)</f>
        <v>0</v>
      </c>
      <c r="I445" s="13">
        <f>SUM(I438:I444)</f>
        <v>539459.46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539459.46</v>
      </c>
      <c r="H458" s="18"/>
      <c r="I458" s="56">
        <f t="shared" si="34"/>
        <v>539459.46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539459.46</v>
      </c>
      <c r="H459" s="83">
        <f>SUM(H453:H458)</f>
        <v>0</v>
      </c>
      <c r="I459" s="83">
        <f>SUM(I453:I458)</f>
        <v>539459.46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539459.46</v>
      </c>
      <c r="H460" s="42">
        <f>H451+H459</f>
        <v>0</v>
      </c>
      <c r="I460" s="42">
        <f>I451+I459</f>
        <v>539459.46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896320.09</v>
      </c>
      <c r="G464" s="18">
        <v>17924.43</v>
      </c>
      <c r="H464" s="18">
        <v>17226.009999999998</v>
      </c>
      <c r="I464" s="18">
        <v>67488.73</v>
      </c>
      <c r="J464" s="18">
        <v>635614.52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34231081.390000001</v>
      </c>
      <c r="G467" s="18">
        <f>1117762.47+29028.47</f>
        <v>1146790.94</v>
      </c>
      <c r="H467" s="18">
        <v>1412799.88</v>
      </c>
      <c r="I467" s="18">
        <v>78.09</v>
      </c>
      <c r="J467" s="18">
        <v>2395.23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f>14424.92-301.2</f>
        <v>14123.72</v>
      </c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34245205.109999999</v>
      </c>
      <c r="G469" s="53">
        <f>SUM(G467:G468)</f>
        <v>1146790.94</v>
      </c>
      <c r="H469" s="53">
        <f>SUM(H467:H468)</f>
        <v>1412799.88</v>
      </c>
      <c r="I469" s="53">
        <f>SUM(I467:I468)</f>
        <v>78.09</v>
      </c>
      <c r="J469" s="53">
        <f>SUM(J467:J468)</f>
        <v>2395.23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33998329.99+29028.47</f>
        <v>34027358.460000001</v>
      </c>
      <c r="G471" s="18">
        <v>1164599.47</v>
      </c>
      <c r="H471" s="18">
        <v>1412799.88</v>
      </c>
      <c r="I471" s="18">
        <v>1500</v>
      </c>
      <c r="J471" s="18">
        <v>98550.29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>
        <v>115.9</v>
      </c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34027358.460000001</v>
      </c>
      <c r="G473" s="53">
        <f>SUM(G471:G472)</f>
        <v>1164715.3699999999</v>
      </c>
      <c r="H473" s="53">
        <f>SUM(H471:H472)</f>
        <v>1412799.88</v>
      </c>
      <c r="I473" s="53">
        <f>SUM(I471:I472)</f>
        <v>1500</v>
      </c>
      <c r="J473" s="53">
        <f>SUM(J471:J472)</f>
        <v>98550.29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1114166.7400000021</v>
      </c>
      <c r="G475" s="53">
        <f>(G464+G469)- G473</f>
        <v>0</v>
      </c>
      <c r="H475" s="53">
        <f>(H464+H469)- H473</f>
        <v>17226.010000000009</v>
      </c>
      <c r="I475" s="53">
        <f>(I464+I469)- I473</f>
        <v>66066.819999999992</v>
      </c>
      <c r="J475" s="53">
        <f>(J464+J469)- J473</f>
        <v>539459.46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 t="s">
        <v>910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 t="s">
        <v>911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913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19836029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3.25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5940000</v>
      </c>
      <c r="G494" s="18"/>
      <c r="H494" s="18"/>
      <c r="I494" s="18"/>
      <c r="J494" s="18"/>
      <c r="K494" s="53">
        <f>SUM(F494:J494)</f>
        <v>5940000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1980000</v>
      </c>
      <c r="G496" s="18"/>
      <c r="H496" s="18"/>
      <c r="I496" s="18"/>
      <c r="J496" s="18"/>
      <c r="K496" s="53">
        <f t="shared" si="35"/>
        <v>1980000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3960000</v>
      </c>
      <c r="G497" s="204"/>
      <c r="H497" s="204"/>
      <c r="I497" s="204"/>
      <c r="J497" s="204"/>
      <c r="K497" s="205">
        <f t="shared" si="35"/>
        <v>3960000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101970+34650</f>
        <v>136620</v>
      </c>
      <c r="G498" s="18"/>
      <c r="H498" s="18"/>
      <c r="I498" s="18"/>
      <c r="J498" s="18"/>
      <c r="K498" s="53">
        <f t="shared" si="35"/>
        <v>136620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4096620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4096620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1980000</v>
      </c>
      <c r="G500" s="204"/>
      <c r="H500" s="204"/>
      <c r="I500" s="204"/>
      <c r="J500" s="204"/>
      <c r="K500" s="205">
        <f t="shared" si="35"/>
        <v>1980000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101970</v>
      </c>
      <c r="G501" s="18"/>
      <c r="H501" s="18"/>
      <c r="I501" s="18"/>
      <c r="J501" s="18"/>
      <c r="K501" s="53">
        <f t="shared" si="35"/>
        <v>101970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2081970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2081970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1528343.11+31787.89+331555.3+12371.8</f>
        <v>1904058.1</v>
      </c>
      <c r="G520" s="18">
        <f>390835.2+88794.67</f>
        <v>479629.87</v>
      </c>
      <c r="H520" s="18">
        <f>278694.09+56890.77</f>
        <v>335584.86000000004</v>
      </c>
      <c r="I520" s="18">
        <f>3278.82+1682.2+2723.03</f>
        <v>7684.0500000000011</v>
      </c>
      <c r="J520" s="18">
        <f>542.29</f>
        <v>542.29</v>
      </c>
      <c r="K520" s="18"/>
      <c r="L520" s="88">
        <f>SUM(F520:K520)</f>
        <v>2727499.17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618418.78+18707.53+113390.49</f>
        <v>750516.8</v>
      </c>
      <c r="G521" s="18">
        <f>368410.14+52256.68</f>
        <v>420666.82</v>
      </c>
      <c r="H521" s="18">
        <f>25483.54+33480.87</f>
        <v>58964.41</v>
      </c>
      <c r="I521" s="18">
        <f>4454.95+989.99+1163.62</f>
        <v>6608.5599999999995</v>
      </c>
      <c r="J521" s="18">
        <f>552.12+319.15</f>
        <v>871.27</v>
      </c>
      <c r="K521" s="18"/>
      <c r="L521" s="88">
        <f>SUM(F521:K521)</f>
        <v>1237627.8600000001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901870.44+25269.87</f>
        <v>927140.30999999994</v>
      </c>
      <c r="G522" s="18">
        <f>497643.1+70587.57</f>
        <v>568230.66999999993</v>
      </c>
      <c r="H522" s="18">
        <f>464101.6+45225.48</f>
        <v>509327.07999999996</v>
      </c>
      <c r="I522" s="18">
        <f>3282.65+1337.27+56.13</f>
        <v>4676.05</v>
      </c>
      <c r="J522" s="18">
        <f>638+431.1</f>
        <v>1069.0999999999999</v>
      </c>
      <c r="K522" s="18"/>
      <c r="L522" s="88">
        <f>SUM(F522:K522)</f>
        <v>2010443.2100000002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3581715.2100000004</v>
      </c>
      <c r="G523" s="108">
        <f t="shared" ref="G523:L523" si="36">SUM(G520:G522)</f>
        <v>1468527.3599999999</v>
      </c>
      <c r="H523" s="108">
        <f t="shared" si="36"/>
        <v>903876.35</v>
      </c>
      <c r="I523" s="108">
        <f t="shared" si="36"/>
        <v>18968.66</v>
      </c>
      <c r="J523" s="108">
        <f t="shared" si="36"/>
        <v>2482.66</v>
      </c>
      <c r="K523" s="108">
        <f t="shared" si="36"/>
        <v>0</v>
      </c>
      <c r="L523" s="89">
        <f t="shared" si="36"/>
        <v>5975570.2400000002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258926.54+70738.98</f>
        <v>329665.52</v>
      </c>
      <c r="G525" s="18">
        <f>136817.47</f>
        <v>136817.47</v>
      </c>
      <c r="H525" s="18">
        <f>224217.53</f>
        <v>224217.53</v>
      </c>
      <c r="I525" s="18"/>
      <c r="J525" s="18"/>
      <c r="K525" s="18"/>
      <c r="L525" s="88">
        <f>SUM(F525:K525)</f>
        <v>690700.52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152381.23+24463.11</f>
        <v>176844.34000000003</v>
      </c>
      <c r="G526" s="18">
        <f>80518.65</f>
        <v>80518.649999999994</v>
      </c>
      <c r="H526" s="18">
        <v>76096</v>
      </c>
      <c r="I526" s="18"/>
      <c r="J526" s="18"/>
      <c r="K526" s="18"/>
      <c r="L526" s="88">
        <f>SUM(F526:K526)</f>
        <v>333458.99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205834.37</f>
        <v>205834.37</v>
      </c>
      <c r="G527" s="18">
        <f>108763.43</f>
        <v>108763.43</v>
      </c>
      <c r="H527" s="18">
        <f>63088.1</f>
        <v>63088.1</v>
      </c>
      <c r="I527" s="18"/>
      <c r="J527" s="18"/>
      <c r="K527" s="18"/>
      <c r="L527" s="88">
        <f>SUM(F527:K527)</f>
        <v>377685.89999999997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712344.23</v>
      </c>
      <c r="G528" s="89">
        <f t="shared" ref="G528:L528" si="37">SUM(G525:G527)</f>
        <v>326099.55</v>
      </c>
      <c r="H528" s="89">
        <f t="shared" si="37"/>
        <v>363401.63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1401845.41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91812.49</f>
        <v>91812.49</v>
      </c>
      <c r="G530" s="18">
        <f>49209.81</f>
        <v>49209.81</v>
      </c>
      <c r="H530" s="18">
        <f>1258.52+15949.28</f>
        <v>17207.8</v>
      </c>
      <c r="I530" s="18">
        <v>199.98</v>
      </c>
      <c r="J530" s="18"/>
      <c r="K530" s="18">
        <f>643.6</f>
        <v>643.6</v>
      </c>
      <c r="L530" s="88">
        <f>SUM(F530:K530)</f>
        <v>159073.68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54032.7+45405.74</f>
        <v>99438.44</v>
      </c>
      <c r="G531" s="18">
        <f>28960.54</f>
        <v>28960.54</v>
      </c>
      <c r="H531" s="18">
        <f>740.65+12263.9</f>
        <v>13004.55</v>
      </c>
      <c r="I531" s="18"/>
      <c r="J531" s="18"/>
      <c r="K531" s="18">
        <f>378.77</f>
        <v>378.77</v>
      </c>
      <c r="L531" s="88">
        <f>SUM(F531:K531)</f>
        <v>141782.29999999999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72986.59+45378.91</f>
        <v>118365.5</v>
      </c>
      <c r="G532" s="18">
        <f>39119.47</f>
        <v>39119.47</v>
      </c>
      <c r="H532" s="18">
        <f>1000.46+3518.28</f>
        <v>4518.74</v>
      </c>
      <c r="I532" s="18"/>
      <c r="J532" s="18"/>
      <c r="K532" s="18">
        <f>511.63</f>
        <v>511.63</v>
      </c>
      <c r="L532" s="88">
        <f>SUM(F532:K532)</f>
        <v>162515.34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309616.43</v>
      </c>
      <c r="G533" s="89">
        <f t="shared" ref="G533:L533" si="38">SUM(G530:G532)</f>
        <v>117289.82</v>
      </c>
      <c r="H533" s="89">
        <f t="shared" si="38"/>
        <v>34731.089999999997</v>
      </c>
      <c r="I533" s="89">
        <f t="shared" si="38"/>
        <v>199.98</v>
      </c>
      <c r="J533" s="89">
        <f t="shared" si="38"/>
        <v>0</v>
      </c>
      <c r="K533" s="89">
        <f t="shared" si="38"/>
        <v>1534</v>
      </c>
      <c r="L533" s="89">
        <f t="shared" si="38"/>
        <v>463371.31999999995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70.5</v>
      </c>
      <c r="I535" s="18"/>
      <c r="J535" s="18"/>
      <c r="K535" s="18"/>
      <c r="L535" s="88">
        <f>SUM(F535:K535)</f>
        <v>70.5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0</v>
      </c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344.21</v>
      </c>
      <c r="I537" s="18"/>
      <c r="J537" s="18"/>
      <c r="K537" s="18"/>
      <c r="L537" s="88">
        <f>SUM(F537:K537)</f>
        <v>344.21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414.71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414.71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f>97242.31</f>
        <v>97242.31</v>
      </c>
      <c r="G540" s="18">
        <f>30533.97</f>
        <v>30533.97</v>
      </c>
      <c r="H540" s="18">
        <f>38425.42</f>
        <v>38425.42</v>
      </c>
      <c r="I540" s="18"/>
      <c r="J540" s="18"/>
      <c r="K540" s="18"/>
      <c r="L540" s="88">
        <f>SUM(F540:K540)</f>
        <v>166201.70000000001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f>57228.21</f>
        <v>57228.21</v>
      </c>
      <c r="G541" s="18">
        <f>17969.59</f>
        <v>17969.59</v>
      </c>
      <c r="H541" s="18">
        <f>22613.8</f>
        <v>22613.8</v>
      </c>
      <c r="I541" s="18"/>
      <c r="J541" s="18"/>
      <c r="K541" s="18"/>
      <c r="L541" s="88">
        <f>SUM(F541:K541)</f>
        <v>97811.6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f>77303.05</f>
        <v>77303.05</v>
      </c>
      <c r="G542" s="18">
        <f>24273.06</f>
        <v>24273.06</v>
      </c>
      <c r="H542" s="18">
        <f>30546.39</f>
        <v>30546.39</v>
      </c>
      <c r="I542" s="18"/>
      <c r="J542" s="18"/>
      <c r="K542" s="18"/>
      <c r="L542" s="88">
        <f>SUM(F542:K542)</f>
        <v>132122.5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231773.57</v>
      </c>
      <c r="G543" s="193">
        <f t="shared" ref="G543:L543" si="40">SUM(G540:G542)</f>
        <v>72776.62</v>
      </c>
      <c r="H543" s="193">
        <f t="shared" si="40"/>
        <v>91585.61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396135.80000000005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4835449.4400000004</v>
      </c>
      <c r="G544" s="89">
        <f t="shared" ref="G544:L544" si="41">G523+G528+G533+G538+G543</f>
        <v>1984693.35</v>
      </c>
      <c r="H544" s="89">
        <f t="shared" si="41"/>
        <v>1394009.3900000001</v>
      </c>
      <c r="I544" s="89">
        <f t="shared" si="41"/>
        <v>19168.64</v>
      </c>
      <c r="J544" s="89">
        <f t="shared" si="41"/>
        <v>2482.66</v>
      </c>
      <c r="K544" s="89">
        <f t="shared" si="41"/>
        <v>1534</v>
      </c>
      <c r="L544" s="89">
        <f t="shared" si="41"/>
        <v>8237337.4800000004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2727499.17</v>
      </c>
      <c r="G548" s="87">
        <f>L525</f>
        <v>690700.52</v>
      </c>
      <c r="H548" s="87">
        <f>L530</f>
        <v>159073.68</v>
      </c>
      <c r="I548" s="87">
        <f>L535</f>
        <v>70.5</v>
      </c>
      <c r="J548" s="87">
        <f>L540</f>
        <v>166201.70000000001</v>
      </c>
      <c r="K548" s="87">
        <f>SUM(F548:J548)</f>
        <v>3743545.5700000003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1237627.8600000001</v>
      </c>
      <c r="G549" s="87">
        <f>L526</f>
        <v>333458.99</v>
      </c>
      <c r="H549" s="87">
        <f>L531</f>
        <v>141782.29999999999</v>
      </c>
      <c r="I549" s="87">
        <f>L536</f>
        <v>0</v>
      </c>
      <c r="J549" s="87">
        <f>L541</f>
        <v>97811.6</v>
      </c>
      <c r="K549" s="87">
        <f>SUM(F549:J549)</f>
        <v>1810680.7500000002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2010443.2100000002</v>
      </c>
      <c r="G550" s="87">
        <f>L527</f>
        <v>377685.89999999997</v>
      </c>
      <c r="H550" s="87">
        <f>L532</f>
        <v>162515.34</v>
      </c>
      <c r="I550" s="87">
        <f>L537</f>
        <v>344.21</v>
      </c>
      <c r="J550" s="87">
        <f>L542</f>
        <v>132122.5</v>
      </c>
      <c r="K550" s="87">
        <f>SUM(F550:J550)</f>
        <v>2683111.16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5975570.2400000002</v>
      </c>
      <c r="G551" s="89">
        <f t="shared" si="42"/>
        <v>1401845.41</v>
      </c>
      <c r="H551" s="89">
        <f t="shared" si="42"/>
        <v>463371.31999999995</v>
      </c>
      <c r="I551" s="89">
        <f t="shared" si="42"/>
        <v>414.71</v>
      </c>
      <c r="J551" s="89">
        <f t="shared" si="42"/>
        <v>396135.80000000005</v>
      </c>
      <c r="K551" s="89">
        <f t="shared" si="42"/>
        <v>8237337.4800000004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7087.92</v>
      </c>
      <c r="G561" s="18">
        <f>16118.98</f>
        <v>16118.98</v>
      </c>
      <c r="H561" s="18">
        <v>510.42</v>
      </c>
      <c r="I561" s="18">
        <v>211.25</v>
      </c>
      <c r="J561" s="18"/>
      <c r="K561" s="18"/>
      <c r="L561" s="88">
        <f>SUM(F561:K561)</f>
        <v>23928.57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14109.05</v>
      </c>
      <c r="G562" s="18">
        <v>9486.2000000000007</v>
      </c>
      <c r="H562" s="18">
        <v>300.39</v>
      </c>
      <c r="I562" s="18">
        <v>124.32</v>
      </c>
      <c r="J562" s="18"/>
      <c r="K562" s="18"/>
      <c r="L562" s="88">
        <f>SUM(F562:K562)</f>
        <v>24019.96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f>14109.03+19786.98</f>
        <v>33896.01</v>
      </c>
      <c r="G563" s="18">
        <v>12813.83</v>
      </c>
      <c r="H563" s="18">
        <v>405.76</v>
      </c>
      <c r="I563" s="18">
        <v>167.93</v>
      </c>
      <c r="J563" s="18"/>
      <c r="K563" s="18"/>
      <c r="L563" s="88">
        <f>SUM(F563:K563)</f>
        <v>47283.530000000006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55092.98</v>
      </c>
      <c r="G564" s="89">
        <f t="shared" si="44"/>
        <v>38419.01</v>
      </c>
      <c r="H564" s="89">
        <f t="shared" si="44"/>
        <v>1216.57</v>
      </c>
      <c r="I564" s="89">
        <f t="shared" si="44"/>
        <v>503.5</v>
      </c>
      <c r="J564" s="89">
        <f t="shared" si="44"/>
        <v>0</v>
      </c>
      <c r="K564" s="89">
        <f t="shared" si="44"/>
        <v>0</v>
      </c>
      <c r="L564" s="89">
        <f t="shared" si="44"/>
        <v>95232.06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55092.98</v>
      </c>
      <c r="G570" s="89">
        <f t="shared" ref="G570:L570" si="46">G559+G564+G569</f>
        <v>38419.01</v>
      </c>
      <c r="H570" s="89">
        <f t="shared" si="46"/>
        <v>1216.57</v>
      </c>
      <c r="I570" s="89">
        <f t="shared" si="46"/>
        <v>503.5</v>
      </c>
      <c r="J570" s="89">
        <f t="shared" si="46"/>
        <v>0</v>
      </c>
      <c r="K570" s="89">
        <f t="shared" si="46"/>
        <v>0</v>
      </c>
      <c r="L570" s="89">
        <f t="shared" si="46"/>
        <v>95232.06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f>70046.6+56890.77</f>
        <v>126937.37</v>
      </c>
      <c r="G578" s="18">
        <f>21654.06+33480.87</f>
        <v>55134.930000000008</v>
      </c>
      <c r="H578" s="18">
        <f>446+45225.48</f>
        <v>45671.48</v>
      </c>
      <c r="I578" s="87">
        <f t="shared" si="47"/>
        <v>227743.78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305231.59999999998</v>
      </c>
      <c r="G581" s="18">
        <v>2994.58</v>
      </c>
      <c r="H581" s="18">
        <v>460187.04</v>
      </c>
      <c r="I581" s="87">
        <f t="shared" si="47"/>
        <v>768413.22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154614.98000000001</v>
      </c>
      <c r="I583" s="87">
        <f t="shared" si="47"/>
        <v>154614.98000000001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280467.9+41936.8</f>
        <v>322404.7</v>
      </c>
      <c r="I590" s="18">
        <f>165058.57</f>
        <v>165058.57</v>
      </c>
      <c r="J590" s="18">
        <v>222958.73</v>
      </c>
      <c r="K590" s="104">
        <f t="shared" ref="K590:K596" si="48">SUM(H590:J590)</f>
        <v>710422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166201.70000000001</v>
      </c>
      <c r="I591" s="18">
        <v>97811.6</v>
      </c>
      <c r="J591" s="18">
        <v>132122.5</v>
      </c>
      <c r="K591" s="104">
        <f t="shared" si="48"/>
        <v>396135.80000000005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259.17</v>
      </c>
      <c r="I592" s="18">
        <v>152.53</v>
      </c>
      <c r="J592" s="18">
        <f>206.03+9201.44</f>
        <v>9407.4700000000012</v>
      </c>
      <c r="K592" s="104">
        <f t="shared" si="48"/>
        <v>9819.1700000000019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142.46</v>
      </c>
      <c r="I593" s="18">
        <f>83.84+4228</f>
        <v>4311.84</v>
      </c>
      <c r="J593" s="18">
        <f>113.25+46072</f>
        <v>46185.25</v>
      </c>
      <c r="K593" s="104">
        <f t="shared" si="48"/>
        <v>50639.55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56.4+450+450+450+100+100</f>
        <v>1606.4</v>
      </c>
      <c r="I594" s="18">
        <f>33.19+2000</f>
        <v>2033.19</v>
      </c>
      <c r="J594" s="18">
        <f>44.84+1575</f>
        <v>1619.84</v>
      </c>
      <c r="K594" s="104">
        <f t="shared" si="48"/>
        <v>5259.43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f>427020.62</f>
        <v>427020.62</v>
      </c>
      <c r="I596" s="18">
        <f>251306.51</f>
        <v>251306.51</v>
      </c>
      <c r="J596" s="18">
        <f>339461.23</f>
        <v>339461.23</v>
      </c>
      <c r="K596" s="104">
        <f t="shared" si="48"/>
        <v>1017788.36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917635.05</v>
      </c>
      <c r="I597" s="108">
        <f>SUM(I590:I596)</f>
        <v>520674.24000000011</v>
      </c>
      <c r="J597" s="108">
        <f>SUM(J590:J596)</f>
        <v>751755.02</v>
      </c>
      <c r="K597" s="108">
        <f>SUM(K590:K596)</f>
        <v>2190064.31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>
        <v>1355.14</v>
      </c>
      <c r="J601" s="18">
        <v>1830.5</v>
      </c>
      <c r="K601" s="104">
        <f>SUM(H601:J601)</f>
        <v>3185.6400000000003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8328.29+3337.76+232928.46</f>
        <v>244594.50999999998</v>
      </c>
      <c r="I603" s="18">
        <f>137081.06-1355.14+22727.71+1964.31</f>
        <v>160417.93999999997</v>
      </c>
      <c r="J603" s="18">
        <f>185167.12-1830.5+18266.81+2653.36+37521.99+22667.03</f>
        <v>264445.80999999994</v>
      </c>
      <c r="K603" s="104">
        <f>SUM(H603:J603)</f>
        <v>669458.25999999989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244594.50999999998</v>
      </c>
      <c r="I604" s="108">
        <f>SUM(I601:I603)</f>
        <v>161773.07999999999</v>
      </c>
      <c r="J604" s="108">
        <f>SUM(J601:J603)</f>
        <v>266276.30999999994</v>
      </c>
      <c r="K604" s="108">
        <f>SUM(K601:K603)</f>
        <v>672643.89999999991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3300091.67</v>
      </c>
      <c r="H616" s="109">
        <f>SUM(F51)</f>
        <v>3300091.67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639737.41</v>
      </c>
      <c r="H617" s="109">
        <f>SUM(G51)</f>
        <v>639737.41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534434.84</v>
      </c>
      <c r="H618" s="109">
        <f>SUM(H51)</f>
        <v>534434.84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271858.48000000004</v>
      </c>
      <c r="H619" s="109">
        <f>SUM(I51)</f>
        <v>271858.48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539459.46</v>
      </c>
      <c r="H620" s="109">
        <f>SUM(J51)</f>
        <v>539459.46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1114166.74</v>
      </c>
      <c r="H621" s="109">
        <f>F475</f>
        <v>1114166.7400000021</v>
      </c>
      <c r="I621" s="121" t="s">
        <v>101</v>
      </c>
      <c r="J621" s="109">
        <f t="shared" ref="J621:J654" si="50">G621-H621</f>
        <v>-2.0954757928848267E-9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17226.009999999998</v>
      </c>
      <c r="H623" s="109">
        <f>H475</f>
        <v>17226.010000000009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66066.820000000007</v>
      </c>
      <c r="H624" s="109">
        <f>I475</f>
        <v>66066.819999999992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539459.46</v>
      </c>
      <c r="H625" s="109">
        <f>J475</f>
        <v>539459.46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34231081.390000001</v>
      </c>
      <c r="H626" s="104">
        <f>SUM(F467)</f>
        <v>34231081.390000001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1146790.94</v>
      </c>
      <c r="H627" s="104">
        <f>SUM(G467)</f>
        <v>1146790.94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1412799.8800000001</v>
      </c>
      <c r="H628" s="104">
        <f>SUM(H467)</f>
        <v>1412799.88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78.09</v>
      </c>
      <c r="H629" s="104">
        <f>SUM(I467)</f>
        <v>78.09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2395.23</v>
      </c>
      <c r="H630" s="104">
        <f>SUM(J467)</f>
        <v>2395.23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34027358.460000001</v>
      </c>
      <c r="H631" s="104">
        <f>SUM(F471)</f>
        <v>34027358.460000001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1412799.88</v>
      </c>
      <c r="H632" s="104">
        <f>SUM(H471)</f>
        <v>1412799.88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610724.15</v>
      </c>
      <c r="H633" s="104">
        <f>I368</f>
        <v>610724.15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1164599.47</v>
      </c>
      <c r="H634" s="104">
        <f>SUM(G471)</f>
        <v>1164599.47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1500</v>
      </c>
      <c r="H635" s="104">
        <f>SUM(I471)</f>
        <v>1500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2395.23</v>
      </c>
      <c r="H636" s="164">
        <f>SUM(J467)</f>
        <v>2395.23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98550.29</v>
      </c>
      <c r="H637" s="164">
        <f>SUM(J471)</f>
        <v>98550.29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539459.46</v>
      </c>
      <c r="H639" s="104">
        <f>SUM(G460)</f>
        <v>539459.46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539459.46</v>
      </c>
      <c r="H641" s="104">
        <f>SUM(I460)</f>
        <v>539459.46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2395.23</v>
      </c>
      <c r="H643" s="104">
        <f>H407</f>
        <v>2395.23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2395.23</v>
      </c>
      <c r="H645" s="104">
        <f>L407</f>
        <v>2395.23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2190064.31</v>
      </c>
      <c r="H646" s="104">
        <f>L207+L225+L243</f>
        <v>2190064.31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672643.89999999991</v>
      </c>
      <c r="H647" s="104">
        <f>(J256+J337)-(J254+J335)</f>
        <v>672643.89999999991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917635.04999999993</v>
      </c>
      <c r="H648" s="104">
        <f>H597</f>
        <v>917635.05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520674.24</v>
      </c>
      <c r="H649" s="104">
        <f>I597</f>
        <v>520674.24000000011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751755.02000000014</v>
      </c>
      <c r="H650" s="104">
        <f>J597</f>
        <v>751755.02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29028.47</v>
      </c>
      <c r="H651" s="104">
        <f>K262+K344</f>
        <v>29028.47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14923353.709999997</v>
      </c>
      <c r="G659" s="19">
        <f>(L228+L308+L358)</f>
        <v>7915422.540000001</v>
      </c>
      <c r="H659" s="19">
        <f>(L246+L327+L359)</f>
        <v>11178741.319999998</v>
      </c>
      <c r="I659" s="19">
        <f>SUM(F659:H659)</f>
        <v>34017517.57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252995.58439005897</v>
      </c>
      <c r="G660" s="19">
        <f>(L358/IF(SUM(L357:L359)=0,1,SUM(L357:L359))*(SUM(G96:G109)))</f>
        <v>142302.04702223084</v>
      </c>
      <c r="H660" s="19">
        <f>(L359/IF(SUM(L357:L359)=0,1,SUM(L357:L359))*(SUM(G96:G109)))</f>
        <v>251879.37858771023</v>
      </c>
      <c r="I660" s="19">
        <f>SUM(F660:H660)</f>
        <v>647177.01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769038.04999999993</v>
      </c>
      <c r="G661" s="19">
        <f>(L225+L305)-(J225+J305)</f>
        <v>433223.20999999996</v>
      </c>
      <c r="H661" s="19">
        <f>(L243+L324)-(J243+J324)</f>
        <v>633627.42000000016</v>
      </c>
      <c r="I661" s="19">
        <f>SUM(F661:H661)</f>
        <v>1835888.68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676763.48</v>
      </c>
      <c r="G662" s="199">
        <f>SUM(G574:G586)+SUM(I601:I603)+L611</f>
        <v>219902.59</v>
      </c>
      <c r="H662" s="199">
        <f>SUM(H574:H586)+SUM(J601:J603)+L612</f>
        <v>926749.80999999994</v>
      </c>
      <c r="I662" s="19">
        <f>SUM(F662:H662)</f>
        <v>1823415.88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13224556.595609939</v>
      </c>
      <c r="G663" s="19">
        <f>G659-SUM(G660:G662)</f>
        <v>7119994.6929777702</v>
      </c>
      <c r="H663" s="19">
        <f>H659-SUM(H660:H662)</f>
        <v>9366484.7114122882</v>
      </c>
      <c r="I663" s="19">
        <f>I659-SUM(I660:I662)</f>
        <v>29711036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1054.44</v>
      </c>
      <c r="G664" s="248">
        <v>620.13</v>
      </c>
      <c r="H664" s="248">
        <v>838.23</v>
      </c>
      <c r="I664" s="19">
        <f>SUM(F664:H664)</f>
        <v>2512.8000000000002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12541.78</v>
      </c>
      <c r="G666" s="19">
        <f>ROUND(G663/G664,2)</f>
        <v>11481.46</v>
      </c>
      <c r="H666" s="19">
        <f>ROUND(H663/H664,2)</f>
        <v>11174.12</v>
      </c>
      <c r="I666" s="19">
        <f>ROUND(I663/I664,2)</f>
        <v>11823.88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-32.71</v>
      </c>
      <c r="I669" s="19">
        <f>SUM(F669:H669)</f>
        <v>-32.71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12541.78</v>
      </c>
      <c r="G671" s="19">
        <f>ROUND((G663+G668)/(G664+G669),2)</f>
        <v>11481.46</v>
      </c>
      <c r="H671" s="19">
        <f>ROUND((H663+H668)/(H664+H669),2)</f>
        <v>11627.87</v>
      </c>
      <c r="I671" s="19">
        <f>ROUND((I663+I668)/(I664+I669),2)</f>
        <v>11979.82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39" sqref="B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MERRIMACK VALLEY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8422298.5099999998</v>
      </c>
      <c r="C9" s="229">
        <f>'DOE25'!G196+'DOE25'!G214+'DOE25'!G232+'DOE25'!G275+'DOE25'!G294+'DOE25'!G313</f>
        <v>3319514.7800000003</v>
      </c>
    </row>
    <row r="10" spans="1:3" x14ac:dyDescent="0.2">
      <c r="A10" t="s">
        <v>779</v>
      </c>
      <c r="B10" s="240">
        <v>7937181.7000000002</v>
      </c>
      <c r="C10" s="240">
        <v>3120343.89</v>
      </c>
    </row>
    <row r="11" spans="1:3" x14ac:dyDescent="0.2">
      <c r="A11" t="s">
        <v>780</v>
      </c>
      <c r="B11" s="240">
        <v>236775.69</v>
      </c>
      <c r="C11" s="240">
        <v>199170.89</v>
      </c>
    </row>
    <row r="12" spans="1:3" x14ac:dyDescent="0.2">
      <c r="A12" t="s">
        <v>781</v>
      </c>
      <c r="B12" s="240">
        <v>248341.12</v>
      </c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8422298.5099999998</v>
      </c>
      <c r="C13" s="231">
        <f>SUM(C10:C12)</f>
        <v>3319514.7800000003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3598831.16</v>
      </c>
      <c r="C18" s="229">
        <f>'DOE25'!G197+'DOE25'!G215+'DOE25'!G233+'DOE25'!G276+'DOE25'!G295+'DOE25'!G314</f>
        <v>1703695.52</v>
      </c>
    </row>
    <row r="19" spans="1:3" x14ac:dyDescent="0.2">
      <c r="A19" t="s">
        <v>779</v>
      </c>
      <c r="B19" s="240">
        <f>124159.82+116997+39962+14109.05+114258+197468.5+120746.16+39918+14109.03+786527.47+36687+29487.75+19719.85+91664+17333.57+90001.98+17333.43+59012</f>
        <v>1929494.61</v>
      </c>
      <c r="C19" s="240">
        <v>913180.8</v>
      </c>
    </row>
    <row r="20" spans="1:3" x14ac:dyDescent="0.2">
      <c r="A20" t="s">
        <v>780</v>
      </c>
      <c r="B20" s="240">
        <f>298541.41+24649.5+300583.46+18411.04+19786.98+27524.25+49065.02+741815.64+12.69+498.72+34985.63+3581.25+65607.19+10279.54+10279.49+262.5+9073.75+54378.49</f>
        <v>1669336.5499999998</v>
      </c>
      <c r="C20" s="240">
        <v>790514.72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3598831.16</v>
      </c>
      <c r="C22" s="231">
        <f>SUM(C19:C21)</f>
        <v>1703695.52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362011.24</v>
      </c>
      <c r="C36" s="235">
        <f>'DOE25'!G199+'DOE25'!G217+'DOE25'!G235+'DOE25'!G278+'DOE25'!G297+'DOE25'!G316</f>
        <v>67185.91</v>
      </c>
    </row>
    <row r="37" spans="1:3" x14ac:dyDescent="0.2">
      <c r="A37" t="s">
        <v>779</v>
      </c>
      <c r="B37" s="240">
        <f>14818.82+9418.82+6267.1+92518</f>
        <v>123022.73999999999</v>
      </c>
      <c r="C37" s="240">
        <f>63954.92+2883.72</f>
        <v>66838.64</v>
      </c>
    </row>
    <row r="38" spans="1:3" x14ac:dyDescent="0.2">
      <c r="A38" t="s">
        <v>780</v>
      </c>
      <c r="B38" s="240">
        <f>1883.8+65543+30404.7+126407+14750</f>
        <v>238988.5</v>
      </c>
      <c r="C38" s="240">
        <v>347.27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362011.24</v>
      </c>
      <c r="C40" s="231">
        <f>SUM(C37:C39)</f>
        <v>67185.91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MERRIMACK VALLEY REGIONAL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18462126.870000001</v>
      </c>
      <c r="D5" s="20">
        <f>SUM('DOE25'!L196:L199)+SUM('DOE25'!L214:L217)+SUM('DOE25'!L232:L235)-F5-G5</f>
        <v>18410183.930000003</v>
      </c>
      <c r="E5" s="243"/>
      <c r="F5" s="255">
        <f>SUM('DOE25'!J196:J199)+SUM('DOE25'!J214:J217)+SUM('DOE25'!J232:J235)</f>
        <v>46827.990000000005</v>
      </c>
      <c r="G5" s="53">
        <f>SUM('DOE25'!K196:K199)+SUM('DOE25'!K214:K217)+SUM('DOE25'!K232:K235)</f>
        <v>5114.95</v>
      </c>
      <c r="H5" s="259"/>
    </row>
    <row r="6" spans="1:9" x14ac:dyDescent="0.2">
      <c r="A6" s="32">
        <v>2100</v>
      </c>
      <c r="B6" t="s">
        <v>801</v>
      </c>
      <c r="C6" s="245">
        <f t="shared" si="0"/>
        <v>3798404.77</v>
      </c>
      <c r="D6" s="20">
        <f>'DOE25'!L201+'DOE25'!L219+'DOE25'!L237-F6-G6</f>
        <v>3796533.75</v>
      </c>
      <c r="E6" s="243"/>
      <c r="F6" s="255">
        <f>'DOE25'!J201+'DOE25'!J219+'DOE25'!J237</f>
        <v>197.02</v>
      </c>
      <c r="G6" s="53">
        <f>'DOE25'!K201+'DOE25'!K219+'DOE25'!K237</f>
        <v>1674</v>
      </c>
      <c r="H6" s="259"/>
    </row>
    <row r="7" spans="1:9" x14ac:dyDescent="0.2">
      <c r="A7" s="32">
        <v>2200</v>
      </c>
      <c r="B7" t="s">
        <v>834</v>
      </c>
      <c r="C7" s="245">
        <f t="shared" si="0"/>
        <v>1213312.04</v>
      </c>
      <c r="D7" s="20">
        <f>'DOE25'!L202+'DOE25'!L220+'DOE25'!L238-F7-G7</f>
        <v>1107787.1100000001</v>
      </c>
      <c r="E7" s="243"/>
      <c r="F7" s="255">
        <f>'DOE25'!J202+'DOE25'!J220+'DOE25'!J238</f>
        <v>105497.43</v>
      </c>
      <c r="G7" s="53">
        <f>'DOE25'!K202+'DOE25'!K220+'DOE25'!K238</f>
        <v>27.5</v>
      </c>
      <c r="H7" s="259"/>
    </row>
    <row r="8" spans="1:9" x14ac:dyDescent="0.2">
      <c r="A8" s="32">
        <v>2300</v>
      </c>
      <c r="B8" t="s">
        <v>802</v>
      </c>
      <c r="C8" s="245">
        <f t="shared" si="0"/>
        <v>405059.84000000014</v>
      </c>
      <c r="D8" s="243"/>
      <c r="E8" s="20">
        <f>'DOE25'!L203+'DOE25'!L221+'DOE25'!L239-F8-G8-D9-D11</f>
        <v>399478.15000000014</v>
      </c>
      <c r="F8" s="255">
        <f>'DOE25'!J203+'DOE25'!J221+'DOE25'!J239</f>
        <v>0</v>
      </c>
      <c r="G8" s="53">
        <f>'DOE25'!K203+'DOE25'!K221+'DOE25'!K239</f>
        <v>5581.6900000000005</v>
      </c>
      <c r="H8" s="259"/>
    </row>
    <row r="9" spans="1:9" x14ac:dyDescent="0.2">
      <c r="A9" s="32">
        <v>2310</v>
      </c>
      <c r="B9" t="s">
        <v>818</v>
      </c>
      <c r="C9" s="245">
        <f t="shared" si="0"/>
        <v>209063.76</v>
      </c>
      <c r="D9" s="244">
        <f>882614.76-673551</f>
        <v>209063.76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33050</v>
      </c>
      <c r="D10" s="243"/>
      <c r="E10" s="244">
        <v>33050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268424.74</v>
      </c>
      <c r="D11" s="244">
        <v>268424.74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1695879.2999999998</v>
      </c>
      <c r="D12" s="20">
        <f>'DOE25'!L204+'DOE25'!L222+'DOE25'!L240-F12-G12</f>
        <v>1625454.6999999997</v>
      </c>
      <c r="E12" s="243"/>
      <c r="F12" s="255">
        <f>'DOE25'!J204+'DOE25'!J222+'DOE25'!J240</f>
        <v>51132.6</v>
      </c>
      <c r="G12" s="53">
        <f>'DOE25'!K204+'DOE25'!K222+'DOE25'!K240</f>
        <v>19292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4778.1000000000004</v>
      </c>
      <c r="D13" s="243"/>
      <c r="E13" s="20">
        <f>'DOE25'!L205+'DOE25'!L223+'DOE25'!L241-F13-G13</f>
        <v>4778.1000000000004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3297812.17</v>
      </c>
      <c r="D14" s="20">
        <f>'DOE25'!L206+'DOE25'!L224+'DOE25'!L242-F14-G14</f>
        <v>3256100</v>
      </c>
      <c r="E14" s="243"/>
      <c r="F14" s="255">
        <f>'DOE25'!J206+'DOE25'!J224+'DOE25'!J242</f>
        <v>41712.170000000006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2190064.31</v>
      </c>
      <c r="D15" s="20">
        <f>'DOE25'!L207+'DOE25'!L225+'DOE25'!L243-F15-G15</f>
        <v>1830317.07</v>
      </c>
      <c r="E15" s="243"/>
      <c r="F15" s="255">
        <f>'DOE25'!J207+'DOE25'!J225+'DOE25'!J243</f>
        <v>359132.24</v>
      </c>
      <c r="G15" s="53">
        <f>'DOE25'!K207+'DOE25'!K225+'DOE25'!K243</f>
        <v>615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313190.11000000004</v>
      </c>
      <c r="D22" s="243"/>
      <c r="E22" s="243"/>
      <c r="F22" s="255">
        <f>'DOE25'!L254+'DOE25'!L335</f>
        <v>313190.11000000004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2146815</v>
      </c>
      <c r="D25" s="243"/>
      <c r="E25" s="243"/>
      <c r="F25" s="258"/>
      <c r="G25" s="256"/>
      <c r="H25" s="257">
        <f>'DOE25'!L259+'DOE25'!L260+'DOE25'!L340+'DOE25'!L341</f>
        <v>2146815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590509.73</v>
      </c>
      <c r="D29" s="20">
        <f>'DOE25'!L357+'DOE25'!L358+'DOE25'!L359-'DOE25'!I366-F29-G29</f>
        <v>589172.98</v>
      </c>
      <c r="E29" s="243"/>
      <c r="F29" s="255">
        <f>'DOE25'!J357+'DOE25'!J358+'DOE25'!J359</f>
        <v>1336.75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1345519.19</v>
      </c>
      <c r="D31" s="20">
        <f>'DOE25'!L289+'DOE25'!L308+'DOE25'!L327+'DOE25'!L332+'DOE25'!L333+'DOE25'!L334-F31-G31</f>
        <v>1281652.08</v>
      </c>
      <c r="E31" s="243"/>
      <c r="F31" s="255">
        <f>'DOE25'!J289+'DOE25'!J308+'DOE25'!J327+'DOE25'!J332+'DOE25'!J333+'DOE25'!J334</f>
        <v>45477.42</v>
      </c>
      <c r="G31" s="53">
        <f>'DOE25'!K289+'DOE25'!K308+'DOE25'!K327+'DOE25'!K332+'DOE25'!K333+'DOE25'!K334</f>
        <v>18389.689999999999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32374690.120000005</v>
      </c>
      <c r="E33" s="246">
        <f>SUM(E5:E31)</f>
        <v>437306.25000000012</v>
      </c>
      <c r="F33" s="246">
        <f>SUM(F5:F31)</f>
        <v>964503.7300000001</v>
      </c>
      <c r="G33" s="246">
        <f>SUM(G5:G31)</f>
        <v>50694.83</v>
      </c>
      <c r="H33" s="246">
        <f>SUM(H5:H31)</f>
        <v>2146815</v>
      </c>
    </row>
    <row r="35" spans="2:8" ht="12" thickBot="1" x14ac:dyDescent="0.25">
      <c r="B35" s="253" t="s">
        <v>847</v>
      </c>
      <c r="D35" s="254">
        <f>E33</f>
        <v>437306.25000000012</v>
      </c>
      <c r="E35" s="249"/>
    </row>
    <row r="36" spans="2:8" ht="12" thickTop="1" x14ac:dyDescent="0.2">
      <c r="B36" t="s">
        <v>815</v>
      </c>
      <c r="D36" s="20">
        <f>D33</f>
        <v>32374690.120000005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MERRIMACK VALLEY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2349828.73</v>
      </c>
      <c r="D8" s="95">
        <f>'DOE25'!G9</f>
        <v>406123.25</v>
      </c>
      <c r="E8" s="95">
        <f>'DOE25'!H9</f>
        <v>0</v>
      </c>
      <c r="F8" s="95">
        <f>'DOE25'!I9</f>
        <v>270689.46000000002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34494.33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821292.06</v>
      </c>
      <c r="D11" s="95">
        <f>'DOE25'!G12</f>
        <v>0</v>
      </c>
      <c r="E11" s="95">
        <f>'DOE25'!H12</f>
        <v>133538.11000000002</v>
      </c>
      <c r="F11" s="95">
        <f>'DOE25'!I12</f>
        <v>1169.02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85725.94</v>
      </c>
      <c r="D12" s="95">
        <f>'DOE25'!G13</f>
        <v>216074.25</v>
      </c>
      <c r="E12" s="95">
        <f>'DOE25'!H13</f>
        <v>386106.73</v>
      </c>
      <c r="F12" s="95">
        <f>'DOE25'!I13</f>
        <v>0</v>
      </c>
      <c r="G12" s="95">
        <f>'DOE25'!J13</f>
        <v>539459.46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8750.61</v>
      </c>
      <c r="D13" s="95">
        <f>'DOE25'!G14</f>
        <v>620.5</v>
      </c>
      <c r="E13" s="95">
        <f>'DOE25'!H14</f>
        <v>14790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16919.41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3300091.67</v>
      </c>
      <c r="D18" s="41">
        <f>SUM(D8:D17)</f>
        <v>639737.41</v>
      </c>
      <c r="E18" s="41">
        <f>SUM(E8:E17)</f>
        <v>534434.84</v>
      </c>
      <c r="F18" s="41">
        <f>SUM(F8:F17)</f>
        <v>271858.48000000004</v>
      </c>
      <c r="G18" s="41">
        <f>SUM(G8:G17)</f>
        <v>539459.46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29028.47</v>
      </c>
      <c r="D21" s="95">
        <f>'DOE25'!G22</f>
        <v>576425.52</v>
      </c>
      <c r="E21" s="95">
        <f>'DOE25'!H22</f>
        <v>297875.79000000004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383264.06</v>
      </c>
      <c r="D23" s="95">
        <f>'DOE25'!G24</f>
        <v>17644</v>
      </c>
      <c r="E23" s="95">
        <f>'DOE25'!H24</f>
        <v>15547.93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1773632.4000000001</v>
      </c>
      <c r="D27" s="95">
        <f>'DOE25'!G28</f>
        <v>45667.89</v>
      </c>
      <c r="E27" s="95">
        <f>'DOE25'!H28</f>
        <v>83030.87</v>
      </c>
      <c r="F27" s="95">
        <f>'DOE25'!I28</f>
        <v>205791.66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120754.24000000001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2185924.9300000002</v>
      </c>
      <c r="D31" s="41">
        <f>SUM(D21:D30)</f>
        <v>639737.41</v>
      </c>
      <c r="E31" s="41">
        <f>SUM(E21:E30)</f>
        <v>517208.83</v>
      </c>
      <c r="F31" s="41">
        <f>SUM(F21:F30)</f>
        <v>205791.66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16919.41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-16919.41</v>
      </c>
      <c r="E46" s="95">
        <f>'DOE25'!H47</f>
        <v>17226.009999999998</v>
      </c>
      <c r="F46" s="95">
        <f>'DOE25'!I47</f>
        <v>66066.820000000007</v>
      </c>
      <c r="G46" s="95">
        <f>'DOE25'!J47</f>
        <v>539459.46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43280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1070886.74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1114166.74</v>
      </c>
      <c r="D49" s="41">
        <f>SUM(D34:D48)</f>
        <v>0</v>
      </c>
      <c r="E49" s="41">
        <f>SUM(E34:E48)</f>
        <v>17226.009999999998</v>
      </c>
      <c r="F49" s="41">
        <f>SUM(F34:F48)</f>
        <v>66066.820000000007</v>
      </c>
      <c r="G49" s="41">
        <f>SUM(G34:G48)</f>
        <v>539459.46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3300091.67</v>
      </c>
      <c r="D50" s="41">
        <f>D49+D31</f>
        <v>639737.41</v>
      </c>
      <c r="E50" s="41">
        <f>E49+E31</f>
        <v>534434.84</v>
      </c>
      <c r="F50" s="41">
        <f>F49+F31</f>
        <v>271858.48</v>
      </c>
      <c r="G50" s="41">
        <f>G49+G31</f>
        <v>539459.46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18307472.02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962254.95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6505.66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38.760000000000005</v>
      </c>
      <c r="D58" s="95">
        <f>'DOE25'!G95</f>
        <v>43.02</v>
      </c>
      <c r="E58" s="95">
        <f>'DOE25'!H95</f>
        <v>0</v>
      </c>
      <c r="F58" s="95">
        <f>'DOE25'!I95</f>
        <v>78.09</v>
      </c>
      <c r="G58" s="95">
        <f>'DOE25'!J95</f>
        <v>2395.23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625125.06000000006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55364.53</v>
      </c>
      <c r="D60" s="95">
        <f>SUM('DOE25'!G97:G109)</f>
        <v>22051.95</v>
      </c>
      <c r="E60" s="95">
        <f>SUM('DOE25'!H97:H109)</f>
        <v>60679.67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1024163.9</v>
      </c>
      <c r="D61" s="130">
        <f>SUM(D56:D60)</f>
        <v>647220.03</v>
      </c>
      <c r="E61" s="130">
        <f>SUM(E56:E60)</f>
        <v>60679.67</v>
      </c>
      <c r="F61" s="130">
        <f>SUM(F56:F60)</f>
        <v>78.09</v>
      </c>
      <c r="G61" s="130">
        <f>SUM(G56:G60)</f>
        <v>2395.23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19331635.919999998</v>
      </c>
      <c r="D62" s="22">
        <f>D55+D61</f>
        <v>647220.03</v>
      </c>
      <c r="E62" s="22">
        <f>E55+E61</f>
        <v>60679.67</v>
      </c>
      <c r="F62" s="22">
        <f>F55+F61</f>
        <v>78.09</v>
      </c>
      <c r="G62" s="22">
        <f>G55+G61</f>
        <v>2395.23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9723643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3333559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13057202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1347331.25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154793.31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19159.71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12911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1521284.27</v>
      </c>
      <c r="D77" s="130">
        <f>SUM(D71:D76)</f>
        <v>12911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14578486.27</v>
      </c>
      <c r="D80" s="130">
        <f>SUM(D78:D79)+D77+D69</f>
        <v>12911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37526.99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320959.2</v>
      </c>
      <c r="D87" s="95">
        <f>SUM('DOE25'!G152:G160)</f>
        <v>415096.08999999997</v>
      </c>
      <c r="E87" s="95">
        <f>SUM('DOE25'!H152:H160)</f>
        <v>1314593.22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42535.35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320959.2</v>
      </c>
      <c r="D90" s="131">
        <f>SUM(D84:D89)</f>
        <v>457631.43999999994</v>
      </c>
      <c r="E90" s="131">
        <f>SUM(E84:E89)</f>
        <v>1352120.21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29028.47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29028.47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34231081.390000001</v>
      </c>
      <c r="D103" s="86">
        <f>D62+D80+D90+D102</f>
        <v>1146790.94</v>
      </c>
      <c r="E103" s="86">
        <f>E62+E80+E90+E102</f>
        <v>1412799.88</v>
      </c>
      <c r="F103" s="86">
        <f>F62+F80+F90+F102</f>
        <v>78.09</v>
      </c>
      <c r="G103" s="86">
        <f>G62+G80+G102</f>
        <v>2395.23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12156520.34</v>
      </c>
      <c r="D108" s="24" t="s">
        <v>289</v>
      </c>
      <c r="E108" s="95">
        <f>('DOE25'!L275)+('DOE25'!L294)+('DOE25'!L313)</f>
        <v>40777.850000000006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5649980.2199999997</v>
      </c>
      <c r="D109" s="24" t="s">
        <v>289</v>
      </c>
      <c r="E109" s="95">
        <f>('DOE25'!L276)+('DOE25'!L295)+('DOE25'!L314)</f>
        <v>795169.55999999994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154614.98000000001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501011.32999999996</v>
      </c>
      <c r="D111" s="24" t="s">
        <v>289</v>
      </c>
      <c r="E111" s="95">
        <f>+('DOE25'!L278)+('DOE25'!L297)+('DOE25'!L316)</f>
        <v>41622.58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60679.67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37526.99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18462126.869999997</v>
      </c>
      <c r="D114" s="86">
        <f>SUM(D108:D113)</f>
        <v>0</v>
      </c>
      <c r="E114" s="86">
        <f>SUM(E108:E113)</f>
        <v>975776.64999999991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3798404.77</v>
      </c>
      <c r="D117" s="24" t="s">
        <v>289</v>
      </c>
      <c r="E117" s="95">
        <f>+('DOE25'!L280)+('DOE25'!L299)+('DOE25'!L318)</f>
        <v>186615.49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1213312.04</v>
      </c>
      <c r="D118" s="24" t="s">
        <v>289</v>
      </c>
      <c r="E118" s="95">
        <f>+('DOE25'!L281)+('DOE25'!L300)+('DOE25'!L319)</f>
        <v>187320.53999999998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882548.34000000008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1695879.2999999998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4778.1000000000004</v>
      </c>
      <c r="D121" s="24" t="s">
        <v>289</v>
      </c>
      <c r="E121" s="95">
        <f>+('DOE25'!L284)+('DOE25'!L303)+('DOE25'!L322)</f>
        <v>18389.689999999999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3297812.17</v>
      </c>
      <c r="D122" s="24" t="s">
        <v>289</v>
      </c>
      <c r="E122" s="95">
        <f>+('DOE25'!L285)+('DOE25'!L304)+('DOE25'!L323)</f>
        <v>33139.880000000005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2190064.31</v>
      </c>
      <c r="D123" s="24" t="s">
        <v>289</v>
      </c>
      <c r="E123" s="95">
        <f>+('DOE25'!L286)+('DOE25'!L305)+('DOE25'!L324)</f>
        <v>4956.6099999999997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1164599.47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13082799.029999999</v>
      </c>
      <c r="D127" s="86">
        <f>SUM(D117:D126)</f>
        <v>1164599.47</v>
      </c>
      <c r="E127" s="86">
        <f>SUM(E117:E126)</f>
        <v>430422.20999999996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306589.09000000003</v>
      </c>
      <c r="D129" s="24" t="s">
        <v>289</v>
      </c>
      <c r="E129" s="129">
        <f>'DOE25'!L335</f>
        <v>6601.02</v>
      </c>
      <c r="F129" s="129">
        <f>SUM('DOE25'!L373:'DOE25'!L379)</f>
        <v>1500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1980000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166815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29028.47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2395.23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-2395.23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2482432.56</v>
      </c>
      <c r="D143" s="141">
        <f>SUM(D129:D142)</f>
        <v>0</v>
      </c>
      <c r="E143" s="141">
        <f>SUM(E129:E142)</f>
        <v>6601.02</v>
      </c>
      <c r="F143" s="141">
        <f>SUM(F129:F142)</f>
        <v>1500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34027358.460000001</v>
      </c>
      <c r="D144" s="86">
        <f>(D114+D127+D143)</f>
        <v>1164599.47</v>
      </c>
      <c r="E144" s="86">
        <f>(E114+E127+E143)</f>
        <v>1412799.88</v>
      </c>
      <c r="F144" s="86">
        <f>(F114+F127+F143)</f>
        <v>1500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06/05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10/14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19836029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3.25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5940000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5940000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1980000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1980000</v>
      </c>
    </row>
    <row r="158" spans="1:9" x14ac:dyDescent="0.2">
      <c r="A158" s="22" t="s">
        <v>35</v>
      </c>
      <c r="B158" s="137">
        <f>'DOE25'!F497</f>
        <v>3960000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3960000</v>
      </c>
    </row>
    <row r="159" spans="1:9" x14ac:dyDescent="0.2">
      <c r="A159" s="22" t="s">
        <v>36</v>
      </c>
      <c r="B159" s="137">
        <f>'DOE25'!F498</f>
        <v>136620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136620</v>
      </c>
    </row>
    <row r="160" spans="1:9" x14ac:dyDescent="0.2">
      <c r="A160" s="22" t="s">
        <v>37</v>
      </c>
      <c r="B160" s="137">
        <f>'DOE25'!F499</f>
        <v>4096620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4096620</v>
      </c>
    </row>
    <row r="161" spans="1:7" x14ac:dyDescent="0.2">
      <c r="A161" s="22" t="s">
        <v>38</v>
      </c>
      <c r="B161" s="137">
        <f>'DOE25'!F500</f>
        <v>1980000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1980000</v>
      </c>
    </row>
    <row r="162" spans="1:7" x14ac:dyDescent="0.2">
      <c r="A162" s="22" t="s">
        <v>39</v>
      </c>
      <c r="B162" s="137">
        <f>'DOE25'!F501</f>
        <v>101970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101970</v>
      </c>
    </row>
    <row r="163" spans="1:7" x14ac:dyDescent="0.2">
      <c r="A163" s="22" t="s">
        <v>246</v>
      </c>
      <c r="B163" s="137">
        <f>'DOE25'!F502</f>
        <v>2081970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2081970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MERRIMACK VALLEY REGIONAL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12542</v>
      </c>
    </row>
    <row r="5" spans="1:4" x14ac:dyDescent="0.2">
      <c r="B5" t="s">
        <v>704</v>
      </c>
      <c r="C5" s="179">
        <f>IF('DOE25'!G664+'DOE25'!G669=0,0,ROUND('DOE25'!G671,0))</f>
        <v>11481</v>
      </c>
    </row>
    <row r="6" spans="1:4" x14ac:dyDescent="0.2">
      <c r="B6" t="s">
        <v>62</v>
      </c>
      <c r="C6" s="179">
        <f>IF('DOE25'!H664+'DOE25'!H669=0,0,ROUND('DOE25'!H671,0))</f>
        <v>11628</v>
      </c>
    </row>
    <row r="7" spans="1:4" x14ac:dyDescent="0.2">
      <c r="B7" t="s">
        <v>705</v>
      </c>
      <c r="C7" s="179">
        <f>IF('DOE25'!I664+'DOE25'!I669=0,0,ROUND('DOE25'!I671,0))</f>
        <v>11980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12197298</v>
      </c>
      <c r="D10" s="182">
        <f>ROUND((C10/$C$28)*100,1)</f>
        <v>36.299999999999997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6445150</v>
      </c>
      <c r="D11" s="182">
        <f>ROUND((C11/$C$28)*100,1)</f>
        <v>19.2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154615</v>
      </c>
      <c r="D12" s="182">
        <f>ROUND((C12/$C$28)*100,1)</f>
        <v>0.5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542634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3985020</v>
      </c>
      <c r="D15" s="182">
        <f t="shared" ref="D15:D27" si="0">ROUND((C15/$C$28)*100,1)</f>
        <v>11.8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1400633</v>
      </c>
      <c r="D16" s="182">
        <f t="shared" si="0"/>
        <v>4.2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882548</v>
      </c>
      <c r="D17" s="182">
        <f t="shared" si="0"/>
        <v>2.6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1695879</v>
      </c>
      <c r="D18" s="182">
        <f t="shared" si="0"/>
        <v>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23168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3330952</v>
      </c>
      <c r="D20" s="182">
        <f t="shared" si="0"/>
        <v>9.9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2195021</v>
      </c>
      <c r="D21" s="182">
        <f t="shared" si="0"/>
        <v>6.5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60680</v>
      </c>
      <c r="D23" s="182">
        <f t="shared" si="0"/>
        <v>0.2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37527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ROUND('DOE25'!L260+'DOE25'!L341,0)</f>
        <v>166815</v>
      </c>
      <c r="D25" s="182">
        <f t="shared" si="0"/>
        <v>0.5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517421.99</v>
      </c>
      <c r="D27" s="182">
        <f t="shared" si="0"/>
        <v>1.5</v>
      </c>
    </row>
    <row r="28" spans="1:4" x14ac:dyDescent="0.2">
      <c r="B28" s="187" t="s">
        <v>723</v>
      </c>
      <c r="C28" s="180">
        <f>SUM(C10:C27)</f>
        <v>33635361.990000002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314690</v>
      </c>
    </row>
    <row r="30" spans="1:4" x14ac:dyDescent="0.2">
      <c r="B30" s="187" t="s">
        <v>729</v>
      </c>
      <c r="C30" s="180">
        <f>SUM(C28:C29)</f>
        <v>33950051.990000002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1980000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18307472</v>
      </c>
      <c r="D35" s="182">
        <f t="shared" ref="D35:D40" si="1">ROUND((C35/$C$41)*100,1)</f>
        <v>50.7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1087359.9299999997</v>
      </c>
      <c r="D36" s="182">
        <f t="shared" si="1"/>
        <v>3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13057202</v>
      </c>
      <c r="D37" s="182">
        <f t="shared" si="1"/>
        <v>36.200000000000003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1534195</v>
      </c>
      <c r="D38" s="182">
        <f t="shared" si="1"/>
        <v>4.2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2130711</v>
      </c>
      <c r="D39" s="182">
        <f t="shared" si="1"/>
        <v>5.9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36116939.93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MERRIMACK VALLEY REGIONAL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2013-10-31T13:04:17Z</cp:lastPrinted>
  <dcterms:created xsi:type="dcterms:W3CDTF">1997-12-04T19:04:30Z</dcterms:created>
  <dcterms:modified xsi:type="dcterms:W3CDTF">2013-12-05T18:51:51Z</dcterms:modified>
</cp:coreProperties>
</file>