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71" i="1" l="1"/>
  <c r="K262" i="1"/>
  <c r="F49" i="1"/>
  <c r="F12" i="1"/>
  <c r="G467" i="1" l="1"/>
  <c r="G12" i="1"/>
  <c r="C39" i="12" l="1"/>
  <c r="C37" i="12" s="1"/>
  <c r="C38" i="12"/>
  <c r="C28" i="12"/>
  <c r="C19" i="12"/>
  <c r="C21" i="12"/>
  <c r="C10" i="12"/>
  <c r="C12" i="12"/>
  <c r="C20" i="12"/>
  <c r="C11" i="12"/>
  <c r="B37" i="12"/>
  <c r="B39" i="12"/>
  <c r="B38" i="12"/>
  <c r="B28" i="12"/>
  <c r="B21" i="12"/>
  <c r="B20" i="12"/>
  <c r="B19" i="12"/>
  <c r="B12" i="12"/>
  <c r="B11" i="12"/>
  <c r="B10" i="12"/>
  <c r="F199" i="1"/>
  <c r="H199" i="1"/>
  <c r="D9" i="13" l="1"/>
  <c r="E10" i="13"/>
  <c r="D11" i="13"/>
  <c r="J501" i="1" l="1"/>
  <c r="J500" i="1"/>
  <c r="I501" i="1"/>
  <c r="H501" i="1"/>
  <c r="G501" i="1"/>
  <c r="G500" i="1"/>
  <c r="G497" i="1"/>
  <c r="H497" i="1"/>
  <c r="I497" i="1"/>
  <c r="J497" i="1"/>
  <c r="F497" i="1"/>
  <c r="H664" i="1" l="1"/>
  <c r="G664" i="1"/>
  <c r="F664" i="1"/>
  <c r="I506" i="1" l="1"/>
  <c r="H542" i="1" l="1"/>
  <c r="H541" i="1"/>
  <c r="H540" i="1"/>
  <c r="H537" i="1"/>
  <c r="H536" i="1"/>
  <c r="H535" i="1"/>
  <c r="G532" i="1"/>
  <c r="G531" i="1"/>
  <c r="G530" i="1"/>
  <c r="K532" i="1"/>
  <c r="K531" i="1"/>
  <c r="K530" i="1"/>
  <c r="J532" i="1"/>
  <c r="J531" i="1"/>
  <c r="J530" i="1"/>
  <c r="I532" i="1"/>
  <c r="I531" i="1"/>
  <c r="I530" i="1"/>
  <c r="H532" i="1"/>
  <c r="H531" i="1"/>
  <c r="H530" i="1"/>
  <c r="F532" i="1"/>
  <c r="F531" i="1"/>
  <c r="F530" i="1"/>
  <c r="G525" i="1" l="1"/>
  <c r="F525" i="1"/>
  <c r="G527" i="1"/>
  <c r="G526" i="1"/>
  <c r="H527" i="1"/>
  <c r="H526" i="1"/>
  <c r="H525" i="1"/>
  <c r="I527" i="1"/>
  <c r="I526" i="1"/>
  <c r="I525" i="1"/>
  <c r="F527" i="1"/>
  <c r="F526" i="1"/>
  <c r="I520" i="1" l="1"/>
  <c r="H520" i="1"/>
  <c r="G520" i="1"/>
  <c r="F520" i="1"/>
  <c r="I522" i="1"/>
  <c r="G522" i="1"/>
  <c r="F522" i="1"/>
  <c r="I521" i="1"/>
  <c r="G521" i="1"/>
  <c r="F521" i="1"/>
  <c r="J520" i="1"/>
  <c r="J522" i="1"/>
  <c r="H522" i="1"/>
  <c r="J521" i="1"/>
  <c r="H521" i="1"/>
  <c r="H583" i="1"/>
  <c r="H581" i="1"/>
  <c r="G581" i="1"/>
  <c r="F581" i="1"/>
  <c r="G566" i="1"/>
  <c r="K566" i="1"/>
  <c r="I566" i="1"/>
  <c r="K567" i="1"/>
  <c r="I567" i="1"/>
  <c r="G567" i="1"/>
  <c r="F567" i="1"/>
  <c r="F566" i="1"/>
  <c r="G563" i="1" l="1"/>
  <c r="G562" i="1"/>
  <c r="G561" i="1"/>
  <c r="I561" i="1"/>
  <c r="F563" i="1"/>
  <c r="F562" i="1"/>
  <c r="F561" i="1"/>
  <c r="J563" i="1"/>
  <c r="J562" i="1"/>
  <c r="J561" i="1"/>
  <c r="I563" i="1"/>
  <c r="I562" i="1"/>
  <c r="I556" i="1" l="1"/>
  <c r="G556" i="1"/>
  <c r="F556" i="1"/>
  <c r="H556" i="1"/>
  <c r="G610" i="1"/>
  <c r="G612" i="1"/>
  <c r="G611" i="1"/>
  <c r="F612" i="1"/>
  <c r="F611" i="1"/>
  <c r="I610" i="1"/>
  <c r="F610" i="1"/>
  <c r="J592" i="1"/>
  <c r="J591" i="1"/>
  <c r="I591" i="1"/>
  <c r="H591" i="1"/>
  <c r="J593" i="1"/>
  <c r="J590" i="1"/>
  <c r="I590" i="1"/>
  <c r="H590" i="1"/>
  <c r="I593" i="1"/>
  <c r="J603" i="1" l="1"/>
  <c r="I603" i="1"/>
  <c r="H603" i="1"/>
  <c r="H206" i="1"/>
  <c r="H239" i="1"/>
  <c r="H221" i="1"/>
  <c r="H203" i="1"/>
  <c r="H224" i="1"/>
  <c r="H242" i="1"/>
  <c r="H197" i="1"/>
  <c r="H234" i="1"/>
  <c r="G244" i="1"/>
  <c r="G242" i="1"/>
  <c r="G240" i="1"/>
  <c r="G239" i="1"/>
  <c r="G238" i="1"/>
  <c r="G237" i="1"/>
  <c r="G234" i="1"/>
  <c r="G233" i="1"/>
  <c r="G232" i="1"/>
  <c r="G226" i="1"/>
  <c r="G224" i="1"/>
  <c r="G222" i="1"/>
  <c r="G221" i="1"/>
  <c r="G220" i="1"/>
  <c r="G219" i="1"/>
  <c r="G215" i="1"/>
  <c r="G214" i="1"/>
  <c r="G208" i="1"/>
  <c r="G206" i="1"/>
  <c r="G204" i="1"/>
  <c r="G203" i="1"/>
  <c r="G202" i="1"/>
  <c r="G201" i="1"/>
  <c r="G197" i="1"/>
  <c r="G196" i="1"/>
  <c r="H244" i="1"/>
  <c r="H226" i="1"/>
  <c r="H208" i="1"/>
  <c r="H243" i="1"/>
  <c r="H225" i="1"/>
  <c r="H207" i="1"/>
  <c r="I242" i="1"/>
  <c r="I224" i="1"/>
  <c r="I206" i="1"/>
  <c r="H237" i="1"/>
  <c r="H219" i="1"/>
  <c r="H201" i="1"/>
  <c r="I233" i="1"/>
  <c r="I215" i="1"/>
  <c r="H233" i="1"/>
  <c r="H215" i="1"/>
  <c r="K240" i="1" l="1"/>
  <c r="I240" i="1"/>
  <c r="I238" i="1"/>
  <c r="I237" i="1"/>
  <c r="I235" i="1"/>
  <c r="H235" i="1"/>
  <c r="I234" i="1"/>
  <c r="I232" i="1"/>
  <c r="I214" i="1"/>
  <c r="I204" i="1"/>
  <c r="I202" i="1"/>
  <c r="I196" i="1"/>
  <c r="G235" i="1" l="1"/>
  <c r="G199" i="1"/>
  <c r="G217" i="1"/>
  <c r="F244" i="1" l="1"/>
  <c r="F226" i="1"/>
  <c r="F208" i="1"/>
  <c r="H254" i="1" l="1"/>
  <c r="J244" i="1"/>
  <c r="I244" i="1"/>
  <c r="J242" i="1"/>
  <c r="F242" i="1"/>
  <c r="F239" i="1"/>
  <c r="K239" i="1"/>
  <c r="J239" i="1"/>
  <c r="I239" i="1"/>
  <c r="H238" i="1"/>
  <c r="F238" i="1"/>
  <c r="F237" i="1"/>
  <c r="F235" i="1"/>
  <c r="F233" i="1"/>
  <c r="J233" i="1"/>
  <c r="J226" i="1"/>
  <c r="I226" i="1"/>
  <c r="J224" i="1"/>
  <c r="F224" i="1"/>
  <c r="K221" i="1"/>
  <c r="J221" i="1"/>
  <c r="I221" i="1"/>
  <c r="F221" i="1"/>
  <c r="I220" i="1"/>
  <c r="H220" i="1"/>
  <c r="F220" i="1"/>
  <c r="I219" i="1"/>
  <c r="F219" i="1"/>
  <c r="F217" i="1"/>
  <c r="F215" i="1"/>
  <c r="J215" i="1"/>
  <c r="J208" i="1"/>
  <c r="I208" i="1"/>
  <c r="J206" i="1"/>
  <c r="F206" i="1"/>
  <c r="K203" i="1"/>
  <c r="J203" i="1"/>
  <c r="I203" i="1"/>
  <c r="F203" i="1"/>
  <c r="H202" i="1"/>
  <c r="F202" i="1"/>
  <c r="I201" i="1"/>
  <c r="F201" i="1"/>
  <c r="F197" i="1"/>
  <c r="K237" i="1" l="1"/>
  <c r="K235" i="1"/>
  <c r="K234" i="1"/>
  <c r="K232" i="1"/>
  <c r="K222" i="1"/>
  <c r="K217" i="1"/>
  <c r="K214" i="1"/>
  <c r="K196" i="1"/>
  <c r="K199" i="1"/>
  <c r="K204" i="1"/>
  <c r="J238" i="1"/>
  <c r="J237" i="1"/>
  <c r="J234" i="1"/>
  <c r="J232" i="1"/>
  <c r="J222" i="1"/>
  <c r="J219" i="1"/>
  <c r="J214" i="1"/>
  <c r="J204" i="1"/>
  <c r="J201" i="1"/>
  <c r="J196" i="1"/>
  <c r="I222" i="1"/>
  <c r="I217" i="1"/>
  <c r="I197" i="1"/>
  <c r="H240" i="1"/>
  <c r="H232" i="1"/>
  <c r="H222" i="1"/>
  <c r="H217" i="1"/>
  <c r="H214" i="1"/>
  <c r="H204" i="1"/>
  <c r="H196" i="1"/>
  <c r="F240" i="1"/>
  <c r="F234" i="1"/>
  <c r="F232" i="1"/>
  <c r="F222" i="1"/>
  <c r="F214" i="1"/>
  <c r="F204" i="1"/>
  <c r="F196" i="1"/>
  <c r="K260" i="1" l="1"/>
  <c r="K259" i="1"/>
  <c r="J318" i="1" l="1"/>
  <c r="I320" i="1"/>
  <c r="I319" i="1"/>
  <c r="I318" i="1"/>
  <c r="I314" i="1"/>
  <c r="H319" i="1"/>
  <c r="H318" i="1"/>
  <c r="G319" i="1"/>
  <c r="G318" i="1"/>
  <c r="G314" i="1"/>
  <c r="F319" i="1"/>
  <c r="F318" i="1"/>
  <c r="F314" i="1"/>
  <c r="J299" i="1"/>
  <c r="I301" i="1"/>
  <c r="I300" i="1"/>
  <c r="I299" i="1"/>
  <c r="I295" i="1"/>
  <c r="H300" i="1"/>
  <c r="H299" i="1"/>
  <c r="G300" i="1"/>
  <c r="G299" i="1"/>
  <c r="G295" i="1"/>
  <c r="F300" i="1"/>
  <c r="F299" i="1"/>
  <c r="F295" i="1"/>
  <c r="J280" i="1"/>
  <c r="J276" i="1"/>
  <c r="I281" i="1"/>
  <c r="I280" i="1"/>
  <c r="I276" i="1"/>
  <c r="H281" i="1"/>
  <c r="H280" i="1"/>
  <c r="G281" i="1"/>
  <c r="G280" i="1"/>
  <c r="G276" i="1"/>
  <c r="F281" i="1"/>
  <c r="F280" i="1"/>
  <c r="F276" i="1"/>
  <c r="F467" i="1" l="1"/>
  <c r="J471" i="1"/>
  <c r="H441" i="1"/>
  <c r="G441" i="1"/>
  <c r="H457" i="1"/>
  <c r="H456" i="1"/>
  <c r="G457" i="1"/>
  <c r="G456" i="1"/>
  <c r="J109" i="1" l="1"/>
  <c r="J101" i="1"/>
  <c r="J95" i="1"/>
  <c r="I405" i="1"/>
  <c r="I404" i="1"/>
  <c r="I402" i="1"/>
  <c r="I403" i="1"/>
  <c r="H405" i="1"/>
  <c r="H404" i="1"/>
  <c r="H402" i="1"/>
  <c r="I399" i="1"/>
  <c r="H399" i="1"/>
  <c r="H431" i="1"/>
  <c r="J431" i="1"/>
  <c r="K428" i="1"/>
  <c r="J428" i="1"/>
  <c r="H425" i="1"/>
  <c r="I425" i="1"/>
  <c r="F47" i="1" l="1"/>
  <c r="F48" i="1"/>
  <c r="F36" i="1"/>
  <c r="F28" i="1"/>
  <c r="F24" i="1"/>
  <c r="F17" i="1"/>
  <c r="F14" i="1"/>
  <c r="F13" i="1"/>
  <c r="F10" i="1"/>
  <c r="F9" i="1"/>
  <c r="F109" i="1"/>
  <c r="F186" i="1"/>
  <c r="F185" i="1"/>
  <c r="F159" i="1"/>
  <c r="F127" i="1"/>
  <c r="F126" i="1"/>
  <c r="F125" i="1"/>
  <c r="F124" i="1"/>
  <c r="F122" i="1"/>
  <c r="F117" i="1"/>
  <c r="F116" i="1"/>
  <c r="F108" i="1"/>
  <c r="F100" i="1"/>
  <c r="F95" i="1"/>
  <c r="F69" i="1"/>
  <c r="F68" i="1"/>
  <c r="F67" i="1"/>
  <c r="F63" i="1"/>
  <c r="F62" i="1"/>
  <c r="J315" i="1" l="1"/>
  <c r="J278" i="1"/>
  <c r="I316" i="1"/>
  <c r="I315" i="1"/>
  <c r="I278" i="1"/>
  <c r="H315" i="1"/>
  <c r="H286" i="1"/>
  <c r="H282" i="1"/>
  <c r="H276" i="1"/>
  <c r="G332" i="1"/>
  <c r="G315" i="1"/>
  <c r="G282" i="1"/>
  <c r="G278" i="1"/>
  <c r="G275" i="1"/>
  <c r="F332" i="1"/>
  <c r="F316" i="1"/>
  <c r="F315" i="1"/>
  <c r="F282" i="1"/>
  <c r="F278" i="1"/>
  <c r="F275" i="1"/>
  <c r="H160" i="1"/>
  <c r="H159" i="1"/>
  <c r="H158" i="1"/>
  <c r="H156" i="1"/>
  <c r="H155" i="1"/>
  <c r="H154" i="1"/>
  <c r="H153" i="1"/>
  <c r="H109" i="1"/>
  <c r="H101" i="1"/>
  <c r="H471" i="1"/>
  <c r="H467" i="1"/>
  <c r="H464" i="1"/>
  <c r="H47" i="1"/>
  <c r="H13" i="1"/>
  <c r="I324" i="1" l="1"/>
  <c r="H324" i="1"/>
  <c r="I313" i="1"/>
  <c r="G313" i="1"/>
  <c r="F313" i="1"/>
  <c r="H12" i="1"/>
  <c r="H64" i="1"/>
  <c r="G471" i="1" l="1"/>
  <c r="H367" i="1"/>
  <c r="H366" i="1"/>
  <c r="G367" i="1"/>
  <c r="G366" i="1"/>
  <c r="F367" i="1"/>
  <c r="F366" i="1"/>
  <c r="J359" i="1"/>
  <c r="K359" i="1"/>
  <c r="K357" i="1"/>
  <c r="I359" i="1"/>
  <c r="I358" i="1"/>
  <c r="I357" i="1"/>
  <c r="H359" i="1"/>
  <c r="H358" i="1"/>
  <c r="H357" i="1"/>
  <c r="F359" i="1"/>
  <c r="F358" i="1"/>
  <c r="F357" i="1"/>
  <c r="G359" i="1"/>
  <c r="G358" i="1"/>
  <c r="G357" i="1"/>
  <c r="G160" i="1"/>
  <c r="G157" i="1"/>
  <c r="G131" i="1"/>
  <c r="G100" i="1"/>
  <c r="G96" i="1"/>
  <c r="G13" i="1"/>
  <c r="G9" i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C17" i="10" s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0" i="10"/>
  <c r="C11" i="10"/>
  <c r="C12" i="10"/>
  <c r="C13" i="10"/>
  <c r="C15" i="10"/>
  <c r="C16" i="10"/>
  <c r="C18" i="10"/>
  <c r="C19" i="10"/>
  <c r="C21" i="10"/>
  <c r="L249" i="1"/>
  <c r="L331" i="1"/>
  <c r="C23" i="10" s="1"/>
  <c r="L253" i="1"/>
  <c r="C25" i="10"/>
  <c r="L267" i="1"/>
  <c r="L268" i="1"/>
  <c r="L348" i="1"/>
  <c r="L349" i="1"/>
  <c r="I664" i="1"/>
  <c r="I669" i="1"/>
  <c r="L210" i="1"/>
  <c r="L228" i="1"/>
  <c r="F660" i="1"/>
  <c r="G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D144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J648" i="1" s="1"/>
  <c r="G649" i="1"/>
  <c r="G650" i="1"/>
  <c r="G651" i="1"/>
  <c r="H651" i="1"/>
  <c r="G652" i="1"/>
  <c r="H652" i="1"/>
  <c r="G653" i="1"/>
  <c r="H653" i="1"/>
  <c r="H654" i="1"/>
  <c r="F191" i="1"/>
  <c r="L255" i="1"/>
  <c r="K256" i="1"/>
  <c r="K270" i="1" s="1"/>
  <c r="I256" i="1"/>
  <c r="I270" i="1" s="1"/>
  <c r="G256" i="1"/>
  <c r="G270" i="1" s="1"/>
  <c r="G163" i="2"/>
  <c r="G159" i="2"/>
  <c r="C18" i="2"/>
  <c r="F31" i="2"/>
  <c r="C26" i="10"/>
  <c r="L327" i="1"/>
  <c r="L350" i="1"/>
  <c r="I661" i="1"/>
  <c r="L289" i="1"/>
  <c r="F659" i="1" s="1"/>
  <c r="A31" i="12"/>
  <c r="C69" i="2"/>
  <c r="A40" i="12"/>
  <c r="D12" i="13"/>
  <c r="C12" i="13" s="1"/>
  <c r="G161" i="2"/>
  <c r="D61" i="2"/>
  <c r="D62" i="2" s="1"/>
  <c r="E49" i="2"/>
  <c r="D18" i="13"/>
  <c r="C18" i="13" s="1"/>
  <c r="D15" i="13"/>
  <c r="C15" i="13" s="1"/>
  <c r="D7" i="13"/>
  <c r="C7" i="13" s="1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77" i="2"/>
  <c r="C80" i="2" s="1"/>
  <c r="D49" i="2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E50" i="2" s="1"/>
  <c r="C31" i="2"/>
  <c r="G61" i="2"/>
  <c r="D29" i="13"/>
  <c r="C29" i="13" s="1"/>
  <c r="D19" i="13"/>
  <c r="C19" i="13" s="1"/>
  <c r="D14" i="13"/>
  <c r="C14" i="13" s="1"/>
  <c r="E13" i="13"/>
  <c r="C13" i="13" s="1"/>
  <c r="J616" i="1"/>
  <c r="E77" i="2"/>
  <c r="E80" i="2" s="1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G551" i="1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G337" i="1"/>
  <c r="G351" i="1" s="1"/>
  <c r="F168" i="1"/>
  <c r="J139" i="1"/>
  <c r="F570" i="1"/>
  <c r="H256" i="1"/>
  <c r="H270" i="1" s="1"/>
  <c r="F663" i="1"/>
  <c r="F671" i="1" s="1"/>
  <c r="C4" i="10" s="1"/>
  <c r="I551" i="1"/>
  <c r="K548" i="1"/>
  <c r="K549" i="1"/>
  <c r="G22" i="2"/>
  <c r="K597" i="1"/>
  <c r="G646" i="1" s="1"/>
  <c r="J646" i="1" s="1"/>
  <c r="K544" i="1"/>
  <c r="J551" i="1"/>
  <c r="H551" i="1"/>
  <c r="C29" i="10"/>
  <c r="I660" i="1"/>
  <c r="H139" i="1"/>
  <c r="L400" i="1"/>
  <c r="C138" i="2" s="1"/>
  <c r="L392" i="1"/>
  <c r="A13" i="12"/>
  <c r="F22" i="13"/>
  <c r="C22" i="13" s="1"/>
  <c r="H25" i="13"/>
  <c r="C25" i="13" s="1"/>
  <c r="J650" i="1"/>
  <c r="J639" i="1"/>
  <c r="J633" i="1"/>
  <c r="H570" i="1"/>
  <c r="L559" i="1"/>
  <c r="J544" i="1"/>
  <c r="H337" i="1"/>
  <c r="H351" i="1" s="1"/>
  <c r="F337" i="1"/>
  <c r="F351" i="1" s="1"/>
  <c r="G191" i="1"/>
  <c r="H191" i="1"/>
  <c r="E127" i="2"/>
  <c r="F551" i="1"/>
  <c r="C35" i="10"/>
  <c r="L308" i="1"/>
  <c r="D5" i="13"/>
  <c r="C5" i="13" s="1"/>
  <c r="E16" i="13"/>
  <c r="C49" i="2"/>
  <c r="C50" i="2" s="1"/>
  <c r="J654" i="1"/>
  <c r="J644" i="1"/>
  <c r="L569" i="1"/>
  <c r="I570" i="1"/>
  <c r="I544" i="1"/>
  <c r="J635" i="1"/>
  <c r="G36" i="2"/>
  <c r="L564" i="1"/>
  <c r="G544" i="1"/>
  <c r="L544" i="1"/>
  <c r="H544" i="1"/>
  <c r="K550" i="1"/>
  <c r="K551" i="1" s="1"/>
  <c r="C137" i="2"/>
  <c r="E33" i="13" l="1"/>
  <c r="D35" i="13" s="1"/>
  <c r="J622" i="1"/>
  <c r="C119" i="2"/>
  <c r="C127" i="2" s="1"/>
  <c r="L246" i="1"/>
  <c r="L256" i="1" s="1"/>
  <c r="L270" i="1" s="1"/>
  <c r="G631" i="1" s="1"/>
  <c r="J631" i="1" s="1"/>
  <c r="C20" i="10"/>
  <c r="C16" i="13"/>
  <c r="F666" i="1"/>
  <c r="H33" i="13"/>
  <c r="L336" i="1"/>
  <c r="E144" i="2"/>
  <c r="L337" i="1"/>
  <c r="L351" i="1" s="1"/>
  <c r="G632" i="1" s="1"/>
  <c r="J632" i="1" s="1"/>
  <c r="C24" i="10"/>
  <c r="G659" i="1"/>
  <c r="G663" i="1" s="1"/>
  <c r="G666" i="1" s="1"/>
  <c r="G31" i="13"/>
  <c r="G33" i="13" s="1"/>
  <c r="I337" i="1"/>
  <c r="I351" i="1" s="1"/>
  <c r="J649" i="1"/>
  <c r="L406" i="1"/>
  <c r="C139" i="2" s="1"/>
  <c r="C140" i="2" s="1"/>
  <c r="C143" i="2" s="1"/>
  <c r="C144" i="2" s="1"/>
  <c r="L570" i="1"/>
  <c r="I191" i="1"/>
  <c r="E90" i="2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F33" i="13" s="1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42" i="2"/>
  <c r="J50" i="1"/>
  <c r="G16" i="2"/>
  <c r="J19" i="1"/>
  <c r="G620" i="1" s="1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G49" i="2"/>
  <c r="G50" i="2" s="1"/>
  <c r="H647" i="1"/>
  <c r="J647" i="1" s="1"/>
  <c r="C103" i="2"/>
  <c r="J651" i="1"/>
  <c r="J641" i="1"/>
  <c r="G570" i="1"/>
  <c r="I433" i="1"/>
  <c r="G433" i="1"/>
  <c r="E103" i="2"/>
  <c r="I662" i="1"/>
  <c r="C27" i="10"/>
  <c r="G634" i="1"/>
  <c r="J634" i="1" s="1"/>
  <c r="H659" i="1" l="1"/>
  <c r="H663" i="1" s="1"/>
  <c r="C28" i="10"/>
  <c r="D24" i="10" s="1"/>
  <c r="G671" i="1"/>
  <c r="C5" i="10" s="1"/>
  <c r="L407" i="1"/>
  <c r="D31" i="13"/>
  <c r="C31" i="13" s="1"/>
  <c r="I659" i="1"/>
  <c r="I663" i="1" s="1"/>
  <c r="I671" i="1" s="1"/>
  <c r="C7" i="10" s="1"/>
  <c r="G630" i="1"/>
  <c r="J630" i="1" s="1"/>
  <c r="D33" i="13"/>
  <c r="D36" i="13" s="1"/>
  <c r="G192" i="1"/>
  <c r="G627" i="1" s="1"/>
  <c r="J627" i="1" s="1"/>
  <c r="G625" i="1"/>
  <c r="J625" i="1" s="1"/>
  <c r="J51" i="1"/>
  <c r="H620" i="1" s="1"/>
  <c r="J620" i="1" s="1"/>
  <c r="C38" i="10"/>
  <c r="H671" i="1" l="1"/>
  <c r="C6" i="10" s="1"/>
  <c r="H666" i="1"/>
  <c r="D20" i="10"/>
  <c r="D27" i="10"/>
  <c r="D23" i="10"/>
  <c r="D10" i="10"/>
  <c r="D18" i="10"/>
  <c r="D13" i="10"/>
  <c r="D26" i="10"/>
  <c r="D11" i="10"/>
  <c r="D15" i="10"/>
  <c r="C30" i="10"/>
  <c r="D17" i="10"/>
  <c r="D25" i="10"/>
  <c r="D12" i="10"/>
  <c r="D21" i="10"/>
  <c r="D19" i="10"/>
  <c r="D16" i="10"/>
  <c r="D22" i="10"/>
  <c r="G636" i="1"/>
  <c r="J636" i="1" s="1"/>
  <c r="H645" i="1"/>
  <c r="J645" i="1" s="1"/>
  <c r="I666" i="1"/>
  <c r="H655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<sst xmlns="http://schemas.openxmlformats.org/spreadsheetml/2006/main" count="3962" uniqueCount="924">
  <si>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</si>
  <si>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</si>
  <si>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</si>
  <si>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</si>
  <si>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</si>
  <si>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</si>
  <si>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</si>
  <si>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</si>
  <si>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</si>
  <si>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</si>
  <si>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</si>
  <si>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</si>
  <si>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</si>
  <si>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</si>
  <si>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</si>
  <si>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</si>
  <si>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</si>
  <si>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</si>
  <si>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</si>
  <si>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</si>
  <si>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</si>
  <si>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</si>
  <si>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</si>
  <si>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</si>
  <si>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</si>
  <si>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</si>
  <si>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</si>
  <si>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</si>
  <si>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</si>
  <si>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</si>
  <si>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</si>
  <si>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</si>
  <si>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</si>
  <si>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</si>
  <si>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</si>
  <si>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</si>
  <si>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</si>
  <si>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</si>
  <si>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</si>
  <si>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</si>
  <si>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</si>
  <si>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</si>
  <si>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</si>
  <si>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</si>
  <si>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</si>
  <si>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</si>
  <si>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</si>
  <si>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</si>
  <si>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</si>
  <si>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</si>
  <si>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</si>
  <si>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</si>
  <si>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</si>
  <si>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</si>
  <si>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</si>
  <si>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</si>
  <si>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</si>
  <si>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</si>
  <si>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</si>
  <si>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</si>
  <si>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</si>
  <si>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</si>
  <si>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</si>
  <si>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</si>
  <si>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</si>
  <si>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</si>
  <si>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</si>
  <si>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</si>
  <si>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</si>
  <si>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</si>
  <si>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</si>
  <si>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</si>
  <si>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</si>
  <si>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</si>
  <si>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</si>
  <si>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</si>
  <si>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</si>
  <si>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</si>
  <si>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</si>
  <si>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</si>
  <si>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</si>
  <si>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</si>
  <si>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</si>
  <si>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</si>
  <si>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</si>
  <si>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</si>
  <si>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</si>
  <si>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</si>
  <si>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</si>
  <si>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</si>
  <si>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</si>
  <si>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</si>
  <si>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</si>
  <si>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</si>
  <si>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</si>
  <si>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</si>
  <si>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</si>
  <si>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</si>
  <si>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</si>
  <si>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</si>
  <si>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</si>
  <si>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</si>
  <si>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</si>
  <si>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</si>
  <si>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</si>
  <si>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</si>
  <si>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</si>
  <si>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</si>
  <si>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</si>
  <si>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</si>
  <si>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</si>
  <si>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</si>
  <si>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</si>
  <si>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</si>
  <si>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</si>
  <si>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</si>
  <si>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</si>
  <si>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</si>
  <si>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</si>
  <si>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</si>
  <si>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</si>
  <si>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</si>
  <si>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</si>
  <si>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</si>
  <si>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</si>
  <si>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</si>
  <si>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</si>
  <si>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</si>
  <si>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</si>
  <si>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</si>
  <si>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</si>
  <si>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</si>
  <si>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</si>
  <si>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</si>
  <si>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</si>
  <si>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</si>
  <si>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</si>
  <si>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</si>
  <si>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</si>
  <si>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</si>
  <si>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</si>
  <si>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</si>
  <si>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</si>
  <si>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</si>
  <si>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</si>
  <si>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</si>
  <si>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</si>
  <si>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</si>
  <si>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</si>
  <si>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</si>
  <si>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</si>
  <si>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</si>
  <si>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</si>
  <si>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</si>
  <si>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</si>
  <si>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</si>
  <si>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</si>
  <si>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</si>
  <si>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</si>
  <si>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</si>
  <si>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</si>
  <si>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</si>
  <si>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</si>
  <si>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</si>
  <si>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</si>
  <si>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</si>
  <si>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</si>
  <si>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</si>
  <si>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</si>
  <si>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</si>
  <si>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</si>
  <si>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</si>
  <si>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</si>
  <si>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</si>
  <si>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</si>
  <si>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</si>
  <si>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</si>
  <si>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</si>
  <si>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</si>
  <si>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</si>
  <si>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</si>
  <si>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</si>
  <si>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</si>
  <si>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</si>
  <si>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</si>
  <si>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</si>
  <si>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</si>
  <si>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</si>
  <si>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</si>
  <si>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</si>
  <si>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</si>
  <si>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</si>
  <si>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</si>
  <si>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</si>
  <si>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</si>
  <si>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</si>
  <si>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</si>
  <si>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</si>
  <si>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</si>
  <si>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</si>
  <si>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</si>
  <si>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</si>
  <si>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</si>
  <si>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</si>
  <si>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</si>
  <si>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</si>
  <si>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</si>
  <si>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</si>
  <si>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</si>
  <si>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</si>
  <si>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</si>
  <si>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</si>
  <si>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</si>
  <si>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</si>
  <si>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</si>
  <si>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</si>
  <si>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</si>
  <si>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</si>
  <si>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</si>
  <si>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</si>
  <si>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</si>
  <si>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</si>
  <si>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</si>
  <si>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</si>
  <si>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</si>
  <si>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</si>
  <si>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</si>
  <si>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</si>
  <si>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</si>
  <si>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</si>
  <si>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</si>
  <si>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</si>
  <si>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</si>
  <si>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</si>
  <si>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</si>
  <si>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</si>
  <si>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</si>
  <si>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</si>
  <si>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</si>
  <si>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</si>
  <si>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</si>
  <si>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</si>
  <si>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</si>
  <si>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</si>
  <si>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</si>
  <si>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</si>
  <si>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</si>
  <si>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</si>
  <si>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</si>
  <si>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</si>
  <si>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</si>
  <si>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</si>
  <si>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</si>
  <si>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</si>
  <si>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</si>
  <si>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</si>
  <si>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</si>
  <si>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</si>
  <si>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</si>
  <si>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</si>
  <si>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</si>
  <si>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</si>
  <si>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</si>
  <si>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</si>
  <si>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</si>
  <si>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</si>
  <si>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</si>
  <si>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</si>
  <si>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</si>
  <si>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</si>
  <si>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</si>
  <si>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</si>
  <si>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</si>
  <si>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</si>
  <si>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</si>
  <si>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</si>
  <si>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</si>
  <si>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</si>
  <si>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</si>
  <si>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</si>
  <si>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</si>
  <si>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</si>
  <si>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</si>
  <si>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</si>
  <si>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</si>
  <si>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</si>
  <si>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</si>
  <si>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</si>
  <si>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</si>
  <si>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</si>
  <si>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</si>
  <si>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</si>
  <si>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</si>
  <si>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</si>
  <si>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</si>
  <si>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</si>
  <si>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</si>
  <si>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</si>
  <si>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</si>
  <si>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</si>
  <si>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</si>
  <si>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</si>
  <si>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</si>
  <si>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</si>
  <si>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</si>
  <si>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</si>
  <si>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</si>
  <si>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</si>
  <si>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</si>
  <si>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</si>
  <si>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</si>
  <si>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</si>
  <si>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</si>
  <si>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</si>
  <si>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</si>
  <si>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</si>
  <si>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</si>
  <si>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</si>
  <si>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</si>
  <si>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</si>
  <si>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</si>
  <si>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</si>
  <si>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</si>
  <si>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</si>
  <si>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</si>
  <si>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</si>
  <si>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</si>
  <si>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</si>
  <si>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</si>
  <si>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</si>
  <si>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</si>
  <si>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</si>
  <si>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</si>
  <si>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</si>
  <si>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</si>
  <si>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</si>
  <si>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</si>
  <si>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</si>
  <si>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</si>
  <si>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</si>
  <si>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</si>
  <si>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</si>
  <si>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</si>
  <si>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</si>
  <si>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</si>
  <si>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</si>
  <si>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</si>
  <si>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</si>
  <si>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</si>
  <si>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</si>
  <si>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</si>
  <si>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</si>
  <si>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</si>
  <si>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</si>
  <si>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</si>
  <si>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</si>
  <si>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</si>
  <si>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</si>
  <si>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</si>
  <si>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</si>
  <si>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</si>
  <si>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</si>
  <si>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</si>
  <si>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</si>
  <si>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</si>
  <si>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</si>
  <si>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</si>
  <si>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</si>
  <si>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</si>
  <si>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</si>
  <si>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</si>
  <si>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</si>
  <si>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</si>
  <si>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</si>
  <si>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</si>
  <si>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</si>
  <si>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</si>
  <si>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</si>
  <si>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</si>
  <si>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</si>
  <si>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</si>
  <si>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</si>
  <si>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</si>
  <si>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</si>
  <si>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</si>
  <si>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</si>
  <si>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</si>
  <si>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</si>
  <si>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</si>
  <si>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</si>
  <si>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</si>
  <si>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</si>
  <si>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</si>
  <si>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</si>
  <si>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</si>
  <si>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</si>
  <si>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</si>
  <si>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</si>
  <si>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</si>
  <si>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</si>
  <si>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</si>
  <si>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</si>
  <si>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</si>
  <si>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</si>
  <si>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</si>
  <si>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</si>
  <si>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</si>
  <si>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</si>
  <si>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</si>
  <si>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</si>
  <si>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</si>
  <si>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</si>
  <si>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</si>
  <si>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</si>
  <si>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</si>
  <si>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</si>
  <si>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</si>
  <si>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</si>
  <si>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</si>
  <si>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</si>
  <si>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</si>
  <si>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</si>
  <si>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</si>
  <si>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</si>
  <si>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</si>
  <si>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</si>
  <si>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</si>
  <si>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</si>
  <si>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</si>
  <si>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</si>
  <si>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</si>
  <si>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</si>
  <si>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</si>
  <si>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</si>
  <si>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</si>
  <si>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</si>
  <si>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</si>
  <si>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</si>
  <si>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</si>
  <si>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</si>
  <si>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</si>
  <si>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</si>
  <si>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</si>
  <si>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</si>
  <si>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</si>
  <si>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</si>
  <si>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</si>
  <si>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</si>
  <si>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</si>
  <si>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</si>
  <si>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</si>
  <si>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</si>
  <si>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</si>
  <si>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</si>
  <si>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</si>
  <si>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</si>
  <si>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</si>
  <si>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</si>
  <si>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</si>
  <si>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</si>
  <si>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</si>
  <si>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</si>
  <si>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</si>
  <si>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</si>
  <si>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</si>
  <si>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</si>
  <si>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</si>
  <si>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</si>
  <si>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</si>
  <si>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</si>
  <si>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</si>
  <si>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</si>
  <si>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</si>
  <si>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</si>
  <si>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</si>
  <si>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</si>
  <si>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</si>
  <si>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</si>
  <si>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</si>
  <si>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</si>
  <si>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</si>
  <si>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</si>
  <si>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</si>
  <si>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</si>
  <si>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</si>
  <si>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</si>
  <si>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</si>
  <si>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</si>
  <si>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</si>
  <si>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</si>
  <si>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</si>
  <si>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</si>
  <si>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</si>
  <si>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</si>
  <si>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</si>
  <si>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</si>
  <si>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</si>
  <si>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</si>
  <si>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</si>
  <si>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</si>
  <si>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</si>
  <si>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</si>
  <si>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</si>
  <si>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</si>
  <si>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</si>
  <si>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</si>
  <si>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</si>
  <si>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</si>
  <si>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</si>
  <si>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</si>
  <si>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</si>
  <si>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</si>
  <si>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</si>
  <si>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</si>
  <si>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</si>
  <si>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</si>
  <si>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</si>
  <si>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</si>
  <si>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</si>
  <si>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</si>
  <si>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</si>
  <si>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</si>
  <si>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</si>
  <si>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</si>
  <si>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</si>
  <si>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</si>
  <si>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</si>
  <si>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</si>
  <si>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</si>
  <si>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</si>
  <si>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</si>
  <si>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</si>
  <si>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</si>
  <si>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</si>
  <si>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</si>
  <si>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</si>
  <si>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</si>
  <si>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</si>
  <si>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</si>
  <si>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</si>
  <si>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</si>
  <si>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</si>
  <si>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</si>
  <si>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</si>
  <si>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</si>
  <si>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</si>
  <si>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</si>
  <si>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</si>
  <si>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</si>
  <si>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</si>
  <si>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</si>
  <si>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</si>
  <si>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</si>
  <si>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</si>
  <si>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</si>
  <si>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</si>
  <si>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</si>
  <si>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</si>
  <si>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</si>
  <si>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</si>
  <si>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</si>
  <si>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</si>
  <si>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</si>
  <si>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</si>
  <si>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</si>
  <si>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</si>
  <si>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</si>
  <si>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</si>
  <si>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</si>
  <si>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</si>
  <si>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</si>
  <si>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</si>
  <si>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</si>
  <si>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</si>
  <si>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</si>
  <si>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</si>
  <si>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</si>
  <si>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</si>
  <si>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</si>
  <si>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</si>
  <si>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</si>
  <si>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</si>
  <si>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</si>
  <si>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</si>
  <si>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</si>
  <si>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</si>
  <si>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</si>
  <si>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</si>
  <si>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</si>
  <si>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</si>
  <si>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</si>
  <si>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</si>
  <si>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</si>
  <si>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</si>
  <si>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</si>
  <si>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</si>
  <si>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</si>
  <si>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</si>
  <si>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</si>
  <si>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</si>
  <si>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</si>
  <si>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</si>
  <si>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</si>
  <si>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</si>
  <si>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</si>
  <si>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</si>
  <si>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</si>
  <si>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</si>
  <si>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</si>
  <si>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</si>
  <si>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</si>
  <si>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</si>
  <si>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</si>
  <si>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</si>
  <si>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</si>
  <si>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</si>
  <si>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</si>
  <si>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</si>
  <si>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</si>
  <si>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</si>
  <si>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</si>
  <si>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</si>
  <si>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</si>
  <si>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</si>
  <si>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</si>
  <si>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</si>
  <si>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</si>
  <si>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</si>
  <si>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</si>
  <si>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</si>
  <si>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</si>
  <si>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</si>
  <si>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</si>
  <si>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</si>
  <si>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</si>
  <si>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</si>
  <si>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</si>
  <si>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</si>
  <si>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</si>
  <si>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</si>
  <si>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</si>
  <si>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</si>
  <si>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</si>
  <si>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</si>
  <si>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</si>
  <si>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</si>
  <si>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</si>
  <si>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</si>
  <si>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</si>
  <si>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</si>
  <si>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</si>
  <si>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</si>
  <si>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</si>
  <si>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</si>
  <si>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</si>
  <si>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</si>
  <si>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</si>
  <si>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</si>
  <si>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</si>
  <si>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</si>
  <si>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</si>
  <si>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</si>
  <si>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</si>
  <si>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</si>
  <si>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</si>
  <si>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</si>
  <si>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</si>
  <si>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</si>
  <si>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</si>
  <si>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</si>
  <si>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</si>
  <si>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</si>
  <si>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</si>
  <si>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</si>
  <si>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</si>
  <si>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</si>
  <si>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</si>
  <si>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</si>
  <si>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</si>
  <si>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</si>
  <si>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</si>
  <si>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</si>
  <si>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</si>
  <si>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</si>
  <si>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</si>
  <si>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</si>
  <si>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</si>
  <si>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</si>
  <si>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</si>
  <si>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</si>
  <si>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</si>
  <si>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</si>
  <si>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</si>
  <si>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</si>
  <si>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</si>
  <si>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</si>
  <si>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</si>
  <si>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</si>
  <si>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</si>
  <si>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</si>
  <si>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</si>
  <si>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</si>
  <si>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</si>
  <si>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</si>
  <si>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</si>
  <si>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</si>
  <si>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</si>
  <si>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</si>
  <si>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</si>
  <si>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</si>
  <si>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</si>
  <si>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</si>
  <si>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</si>
  <si>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</si>
  <si>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</si>
  <si>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</si>
  <si>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</si>
  <si>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</si>
  <si>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</si>
  <si>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</si>
  <si>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</si>
  <si>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</si>
  <si>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</si>
  <si>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</si>
  <si>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</si>
  <si>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</si>
  <si>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</si>
  <si>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</si>
  <si>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</si>
  <si>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</si>
  <si>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</si>
  <si>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</si>
  <si>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</si>
  <si>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</si>
  <si>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</si>
  <si>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</si>
  <si>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</si>
  <si>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</si>
  <si>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</si>
  <si>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</si>
  <si>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</si>
  <si>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</si>
  <si>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</si>
  <si>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</si>
  <si>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</si>
  <si>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</si>
  <si>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</si>
  <si>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</si>
  <si>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</si>
  <si>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</si>
  <si>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</si>
  <si>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</si>
  <si>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</si>
  <si>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</si>
  <si>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</si>
  <si>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</si>
  <si>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</si>
  <si>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</si>
  <si>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</si>
  <si>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</si>
  <si>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</si>
  <si>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</si>
  <si>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</si>
  <si>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</si>
  <si>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</si>
  <si>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</si>
  <si>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</si>
  <si>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</si>
  <si>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</si>
  <si>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</si>
  <si>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</si>
  <si>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</si>
  <si>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</si>
  <si>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</si>
  <si>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</si>
  <si>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</si>
  <si>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</si>
  <si>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</si>
  <si>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</si>
  <si>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</si>
  <si>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</si>
  <si>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</si>
  <si>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</si>
  <si>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</si>
  <si>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</si>
  <si>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</si>
  <si>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</si>
  <si>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</si>
  <si>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</si>
  <si>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</si>
  <si>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</si>
  <si>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</si>
  <si>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</si>
  <si>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</si>
  <si>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</si>
  <si>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</si>
  <si>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</si>
  <si>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</si>
  <si>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</si>
  <si>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</si>
  <si>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</si>
  <si>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</si>
  <si>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</si>
  <si>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</si>
  <si>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</si>
  <si>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</si>
  <si>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</si>
  <si>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</si>
  <si>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</si>
  <si>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</si>
  <si>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</si>
  <si>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</si>
  <si>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</si>
  <si>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</si>
  <si>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</si>
  <si>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</si>
  <si>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</si>
  <si>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</si>
  <si>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</si>
  <si>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</si>
  <si>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</si>
  <si>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</si>
  <si>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</si>
  <si>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</si>
  <si>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</si>
  <si>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</si>
  <si>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</si>
  <si>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</si>
  <si>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</si>
  <si>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</si>
  <si>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</si>
  <si>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</si>
  <si>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</si>
  <si>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</si>
  <si>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</si>
  <si>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</si>
  <si>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</si>
  <si>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</si>
  <si>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</si>
  <si>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</si>
  <si>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</si>
  <si>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</si>
  <si>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</si>
  <si>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</si>
  <si>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</si>
  <si>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</si>
  <si>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</si>
  <si>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</si>
  <si>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</si>
  <si>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</si>
  <si>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</si>
  <si>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</si>
  <si>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</si>
  <si>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</si>
  <si>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</si>
  <si>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</si>
  <si>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</si>
  <si>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</si>
  <si>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</si>
  <si>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</si>
  <si>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</si>
  <si>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</si>
  <si>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</si>
  <si>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</si>
  <si>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</si>
  <si>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</si>
  <si>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</si>
  <si>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</si>
  <si>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</si>
  <si>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</si>
  <si>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</si>
  <si>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</si>
  <si>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</si>
  <si>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</si>
  <si>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</si>
  <si>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</si>
  <si>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</si>
  <si>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</si>
  <si>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</si>
  <si>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</si>
  <si>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</si>
  <si>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</si>
  <si>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</si>
  <si>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</si>
  <si>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</si>
  <si>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</si>
  <si>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</si>
  <si>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</si>
  <si>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</si>
  <si>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</si>
  <si>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</si>
  <si>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</si>
  <si>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</si>
  <si>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</si>
  <si>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</si>
  <si>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</si>
  <si>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</si>
  <si>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</si>
  <si>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</si>
  <si>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</si>
  <si>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</si>
  <si>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</si>
  <si>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</si>
  <si>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</si>
  <si>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</si>
  <si>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</si>
  <si>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</si>
  <si>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</si>
  <si>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</si>
  <si>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MAA OCONNOR</t>
  </si>
  <si>
    <t>MARCHESI</t>
  </si>
  <si>
    <t>PHILIPS</t>
  </si>
  <si>
    <t>SCHOLARSHIP FUNDS</t>
  </si>
  <si>
    <t>01/98</t>
  </si>
  <si>
    <t>01/08</t>
  </si>
  <si>
    <t>01/00</t>
  </si>
  <si>
    <t>01/13</t>
  </si>
  <si>
    <t>01/28</t>
  </si>
  <si>
    <t>07/15</t>
  </si>
  <si>
    <t>01/20</t>
  </si>
  <si>
    <t>07/13</t>
  </si>
  <si>
    <t>08/23</t>
  </si>
  <si>
    <t>07/10</t>
  </si>
  <si>
    <t xml:space="preserve">MILFORD SCHOOL DISTRICT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</si>
</sst>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quotePrefix="1" applyNumberFormat="1" applyFont="1" applyProtection="1">
      <protection locked="0"/>
    </xf>
    <xf numFmtId="38" fontId="2" fillId="0" borderId="0" xfId="0" quotePrefix="1" applyNumberFormat="1" applyFont="1" applyAlignment="1" applyProtection="1">
      <alignment horizontal="center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923</v>
      </c>
      <c r="B2" s="21">
        <v>357</v>
      </c>
      <c r="C2" s="21">
        <v>357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195349.32+100</f>
        <v>195449.32</v>
      </c>
      <c r="G9" s="18">
        <f>394.65</f>
        <v>394.65</v>
      </c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f>245169.88+245384.31</f>
        <v>490554.19</v>
      </c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364825.36-67876.87</f>
        <v>296948.49</v>
      </c>
      <c r="G12" s="18">
        <f>46259.92</f>
        <v>46259.92</v>
      </c>
      <c r="H12" s="18">
        <f>10407.99</f>
        <v>10407.99</v>
      </c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17049.6</f>
        <v>17049.599999999999</v>
      </c>
      <c r="G13" s="18">
        <f>52324.12</f>
        <v>52324.12</v>
      </c>
      <c r="H13" s="18">
        <f>422228.02</f>
        <v>422228.02</v>
      </c>
      <c r="I13" s="18"/>
      <c r="J13" s="67">
        <f>SUM(I441)</f>
        <v>2756589.37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1390.58</f>
        <v>1390.58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f>114161.13</f>
        <v>114161.13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274">
        <v>500</v>
      </c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1115553.31</v>
      </c>
      <c r="G19" s="41">
        <f>SUM(G9:G18)</f>
        <v>98978.69</v>
      </c>
      <c r="H19" s="41">
        <f>SUM(H9:H18)</f>
        <v>433136.01</v>
      </c>
      <c r="I19" s="41">
        <f>SUM(I9:I18)</f>
        <v>0</v>
      </c>
      <c r="J19" s="41">
        <f>SUM(J9:J18)</f>
        <v>2756589.37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353616.4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3754.89</f>
        <v>3754.89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160072.94</f>
        <v>160072.94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163827.83000000002</v>
      </c>
      <c r="G32" s="41">
        <f>SUM(G22:G31)</f>
        <v>0</v>
      </c>
      <c r="H32" s="41">
        <f>SUM(H22:H31)</f>
        <v>353616.4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f>114161.13</f>
        <v>114161.13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2531845.0300000003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150658.55000000002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74085.789999999994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f>17000+60000</f>
        <v>77000</v>
      </c>
      <c r="G47" s="18">
        <v>98978.69</v>
      </c>
      <c r="H47" s="18">
        <f>10407.99+69111.62</f>
        <v>79519.61</v>
      </c>
      <c r="I47" s="18"/>
      <c r="J47" s="13">
        <f>SUM(I458)</f>
        <v>0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f>94954.19</f>
        <v>94954.19</v>
      </c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484537.18+248949.85-67876.87</f>
        <v>665610.16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951725.48</v>
      </c>
      <c r="G50" s="41">
        <f>SUM(G35:G49)</f>
        <v>98978.69</v>
      </c>
      <c r="H50" s="41">
        <f>SUM(H35:H49)</f>
        <v>79519.61</v>
      </c>
      <c r="I50" s="41">
        <f>SUM(I35:I49)</f>
        <v>0</v>
      </c>
      <c r="J50" s="41">
        <f>SUM(J35:J49)</f>
        <v>2756589.37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1115553.31</v>
      </c>
      <c r="G51" s="41">
        <f>G50+G32</f>
        <v>98978.69</v>
      </c>
      <c r="H51" s="41">
        <f>H50+H32</f>
        <v>433136.01</v>
      </c>
      <c r="I51" s="41">
        <f>I50+I32</f>
        <v>0</v>
      </c>
      <c r="J51" s="41">
        <f>J50+J32</f>
        <v>2756589.37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20186289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20186289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f>6012+1750</f>
        <v>7762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f>6500</f>
        <v>6500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>
        <f>74880</f>
        <v>74880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f>741713.69</f>
        <v>741713.69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f>378699.77</f>
        <v>378699.77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f>28377.76</f>
        <v>28377.759999999998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1163053.22</v>
      </c>
      <c r="G78" s="45" t="s">
        <v>289</v>
      </c>
      <c r="H78" s="41">
        <f>SUM(H62:H77)</f>
        <v>74880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f>569.19</f>
        <v>569.19000000000005</v>
      </c>
      <c r="G95" s="18"/>
      <c r="H95" s="18"/>
      <c r="I95" s="18"/>
      <c r="J95" s="18">
        <f>76611.7</f>
        <v>76611.7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453975.83</f>
        <v>453975.83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f>3195.65</f>
        <v>3195.65</v>
      </c>
      <c r="G100" s="18">
        <f>56</f>
        <v>56</v>
      </c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f>23071.84</f>
        <v>23071.84</v>
      </c>
      <c r="I101" s="18"/>
      <c r="J101" s="18">
        <f>34342</f>
        <v>34342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f>24575.55</f>
        <v>24575.55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10231.56</f>
        <v>10231.56</v>
      </c>
      <c r="G109" s="18"/>
      <c r="H109" s="18">
        <f>31730</f>
        <v>31730</v>
      </c>
      <c r="I109" s="18"/>
      <c r="J109" s="18">
        <f>73030.01</f>
        <v>73030.009999999995</v>
      </c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38571.949999999997</v>
      </c>
      <c r="G110" s="41">
        <f>SUM(G95:G109)</f>
        <v>454031.83</v>
      </c>
      <c r="H110" s="41">
        <f>SUM(H95:H109)</f>
        <v>54801.84</v>
      </c>
      <c r="I110" s="41">
        <f>SUM(I95:I109)</f>
        <v>0</v>
      </c>
      <c r="J110" s="41">
        <f>SUM(J95:J109)</f>
        <v>183983.71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21387914.169999998</v>
      </c>
      <c r="G111" s="41">
        <f>G59+G110</f>
        <v>454031.83</v>
      </c>
      <c r="H111" s="41">
        <f>H59+H78+H93+H110</f>
        <v>129681.84</v>
      </c>
      <c r="I111" s="41">
        <f>I59+I110</f>
        <v>0</v>
      </c>
      <c r="J111" s="41">
        <f>J59+J110</f>
        <v>183983.71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f>8245513</f>
        <v>8245513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f>3129442</f>
        <v>3129442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11374955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f>286225.48</f>
        <v>286225.48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>
        <f>296700</f>
        <v>296700</v>
      </c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f>128643.24</f>
        <v>128643.24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f>60568.03</f>
        <v>60568.03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f>1898.71</f>
        <v>1898.71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f>8523.65+1134.93</f>
        <v>9658.58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774035.46</v>
      </c>
      <c r="G135" s="41">
        <f>SUM(G122:G134)</f>
        <v>9658.58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12148990.460000001</v>
      </c>
      <c r="G139" s="41">
        <f>G120+SUM(G135:G136)</f>
        <v>9658.58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425036</f>
        <v>425036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116207.91</f>
        <v>116207.91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f>107924.36</f>
        <v>107924.36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>
        <f>9964.03</f>
        <v>9964.0300000000007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f>221342.87+43220.99</f>
        <v>264563.86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694579.25</f>
        <v>694579.25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f>183725.59</f>
        <v>183725.59</v>
      </c>
      <c r="G159" s="24" t="s">
        <v>289</v>
      </c>
      <c r="H159" s="18">
        <f>1021</f>
        <v>1021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>
        <f>42674.18</f>
        <v>42674.18</v>
      </c>
      <c r="H160" s="18">
        <f>15871.55</f>
        <v>15871.55</v>
      </c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183725.59</v>
      </c>
      <c r="G161" s="41">
        <f>SUM(G149:G160)</f>
        <v>307238.03999999998</v>
      </c>
      <c r="H161" s="41">
        <f>SUM(H149:H160)</f>
        <v>1370604.1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183725.59</v>
      </c>
      <c r="G168" s="41">
        <f>G146+G161+SUM(G162:G167)</f>
        <v>307238.03999999998</v>
      </c>
      <c r="H168" s="41">
        <f>H146+H161+SUM(H162:H167)</f>
        <v>1370604.1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67876.87</v>
      </c>
      <c r="H178" s="18"/>
      <c r="I178" s="18"/>
      <c r="J178" s="18"/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67876.87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f>1001.93</f>
        <v>1001.93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>
        <f>34003.29</f>
        <v>34003.29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35005.22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35005.22</v>
      </c>
      <c r="G191" s="41">
        <f>G182+SUM(G187:G190)</f>
        <v>67876.87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33755635.439999998</v>
      </c>
      <c r="G192" s="47">
        <f>G111+G139+G168+G191</f>
        <v>838805.32</v>
      </c>
      <c r="H192" s="47">
        <f>H111+H139+H168+H191</f>
        <v>1500285.9400000002</v>
      </c>
      <c r="I192" s="47">
        <f>I111+I139+I168+I191</f>
        <v>0</v>
      </c>
      <c r="J192" s="47">
        <f>J111+J139+J191</f>
        <v>183983.71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3807194.89</f>
        <v>3807194.89</v>
      </c>
      <c r="G196" s="18">
        <f>1643336.37+17538.5*0.19822</f>
        <v>1646812.8514700001</v>
      </c>
      <c r="H196" s="18">
        <f>3457.01-180</f>
        <v>3277.01</v>
      </c>
      <c r="I196" s="18">
        <f>108524.58-201.48+229.18</f>
        <v>108552.28</v>
      </c>
      <c r="J196" s="18">
        <f>2252.5</f>
        <v>2252.5</v>
      </c>
      <c r="K196" s="18">
        <f>122.5</f>
        <v>122.5</v>
      </c>
      <c r="L196" s="19">
        <f>SUM(F196:K196)</f>
        <v>5568212.0314699998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1280223.76+94742.04+19805.36+21865.24+23837.39+7200.37</f>
        <v>1447674.1600000001</v>
      </c>
      <c r="G197" s="18">
        <f>585781.87+17538.5*0.07519</f>
        <v>587100.58981499996</v>
      </c>
      <c r="H197" s="18">
        <f>29209.39-2137.2+1209.73+36755.05+233.78+4000+2879.49-4000</f>
        <v>68150.240000000005</v>
      </c>
      <c r="I197" s="18">
        <f>7806.34-1539.27</f>
        <v>6267.07</v>
      </c>
      <c r="J197" s="18"/>
      <c r="K197" s="18"/>
      <c r="L197" s="19">
        <f>SUM(F197:K197)</f>
        <v>2109192.0598150003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9716.5+441.39</f>
        <v>10157.89</v>
      </c>
      <c r="G199" s="18">
        <f>4366.59+0.3</f>
        <v>4366.8900000000003</v>
      </c>
      <c r="H199" s="18">
        <f>16395+1250</f>
        <v>17645</v>
      </c>
      <c r="I199" s="18"/>
      <c r="J199" s="18"/>
      <c r="K199" s="18">
        <f>1325</f>
        <v>1325</v>
      </c>
      <c r="L199" s="19">
        <f>SUM(F199:K199)</f>
        <v>33494.78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209723.44+112972.82+1905.07+11321.59+247734.26+51053.08+20637.14+130883.57</f>
        <v>786230.97</v>
      </c>
      <c r="G201" s="18">
        <f>894.05+94108.32+41262.8+854.85+133586.1+60728.34+17538.5*(0.0109+0.00338+0.01521+0.00678)</f>
        <v>332070.58139499999</v>
      </c>
      <c r="H201" s="18">
        <f>10075+752.22+1063.63+108.83+196.46+725.4</f>
        <v>12921.539999999997</v>
      </c>
      <c r="I201" s="18">
        <f>952.38+1117.16+663.75+482.65+143.49+901.77</f>
        <v>4261.2000000000007</v>
      </c>
      <c r="J201" s="18">
        <f>346.25</f>
        <v>346.25</v>
      </c>
      <c r="K201" s="18"/>
      <c r="L201" s="19">
        <f t="shared" ref="L201:L207" si="0">SUM(F201:K201)</f>
        <v>1135830.5413949999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79711.65+12888.51+380.4</f>
        <v>92980.559999999983</v>
      </c>
      <c r="G202" s="18">
        <f>70.93+36612.36+17538.5*0.00314</f>
        <v>36738.360890000004</v>
      </c>
      <c r="H202" s="18">
        <f>4169.7+2494.1-359+80.4+2655.37</f>
        <v>9040.57</v>
      </c>
      <c r="I202" s="18">
        <f>7319.54+231.98+475.95+80.72</f>
        <v>8108.19</v>
      </c>
      <c r="J202" s="18"/>
      <c r="K202" s="18"/>
      <c r="L202" s="19">
        <f t="shared" si="0"/>
        <v>146867.68088999999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98318.81+60.3+2635.61+1505.09+119613.49+112762.43+77404.56+36010.86</f>
        <v>448311.14999999997</v>
      </c>
      <c r="G203" s="18">
        <f>331.75+85942.1+106697.54+17538.5*(0.01346+0.0114)</f>
        <v>193407.39711000002</v>
      </c>
      <c r="H203" s="18">
        <f>5824.18+4361.7+2997.31+3444.74+3161.42+3122.9+203+745.4+559.63+1714.01+1663.96+738.99+208.45+1005.72+56.63-102+300*0.408</f>
        <v>29828.440000000006</v>
      </c>
      <c r="I203" s="18">
        <f>3078.31+72.34+795.94</f>
        <v>3946.59</v>
      </c>
      <c r="J203" s="18">
        <f>752.94</f>
        <v>752.94</v>
      </c>
      <c r="K203" s="18">
        <f>2562.28+2179.93+463.22</f>
        <v>5205.43</v>
      </c>
      <c r="L203" s="19">
        <f t="shared" si="0"/>
        <v>681451.94710999995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455151.24</f>
        <v>455151.24</v>
      </c>
      <c r="G204" s="18">
        <f>216836.83+17538.5*0.02484</f>
        <v>217272.48633999997</v>
      </c>
      <c r="H204" s="18">
        <f>7649.58</f>
        <v>7649.58</v>
      </c>
      <c r="I204" s="18">
        <f>2895.67-75.88+48.63</f>
        <v>2868.42</v>
      </c>
      <c r="J204" s="18">
        <f>374.92</f>
        <v>374.92</v>
      </c>
      <c r="K204" s="18">
        <f>2602</f>
        <v>2602</v>
      </c>
      <c r="L204" s="19">
        <f t="shared" si="0"/>
        <v>685918.64633999998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307846.8+29460.63+69047.89+5832.78</f>
        <v>412188.10000000003</v>
      </c>
      <c r="G206" s="18">
        <f>185885.81+827.95*0.402+40.79+17538.5*0.02163</f>
        <v>186638.79365500002</v>
      </c>
      <c r="H206" s="18">
        <f>128371.25-8276.05+16115.27+14444.11+2509.83+16410.34+30375.53+2531.13+2297.29+41532.03+130+2179.99+255+212.5+929.47+383.5+1486.78+2480.8+208.08+180.45+6858-(2000*0.408)-90+21.93</f>
        <v>260731.22999999998</v>
      </c>
      <c r="I206" s="18">
        <f>196929.3-440.32+24241.71+5105.65+230.66+45.03</f>
        <v>226112.02999999997</v>
      </c>
      <c r="J206" s="18">
        <f>5421</f>
        <v>5421</v>
      </c>
      <c r="K206" s="18"/>
      <c r="L206" s="19">
        <f t="shared" si="0"/>
        <v>1091091.153655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120801.71+346429.2+2712+11104.8</f>
        <v>481047.71</v>
      </c>
      <c r="I207" s="18"/>
      <c r="J207" s="18"/>
      <c r="K207" s="18"/>
      <c r="L207" s="19">
        <f t="shared" si="0"/>
        <v>481047.71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f>50125.76+124971.08</f>
        <v>175096.84</v>
      </c>
      <c r="G208" s="18">
        <f>22014.09+17538.5*0.00285</f>
        <v>22064.074724999999</v>
      </c>
      <c r="H208" s="18">
        <f>3738.6+31794.6+641.29+11383.2+10561.48</f>
        <v>58119.17</v>
      </c>
      <c r="I208" s="18">
        <f>807.58+40.18+2411.73</f>
        <v>3259.49</v>
      </c>
      <c r="J208" s="18">
        <f>1954.7+16865.73</f>
        <v>18820.43</v>
      </c>
      <c r="K208" s="18"/>
      <c r="L208" s="19">
        <f>SUM(F208:K208)</f>
        <v>277360.00472499995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7634985.7999999998</v>
      </c>
      <c r="G210" s="41">
        <f t="shared" si="1"/>
        <v>3226472.0254000006</v>
      </c>
      <c r="H210" s="41">
        <f t="shared" si="1"/>
        <v>948410.49000000011</v>
      </c>
      <c r="I210" s="41">
        <f t="shared" si="1"/>
        <v>363375.27</v>
      </c>
      <c r="J210" s="41">
        <f t="shared" si="1"/>
        <v>27968.04</v>
      </c>
      <c r="K210" s="41">
        <f t="shared" si="1"/>
        <v>9254.93</v>
      </c>
      <c r="L210" s="41">
        <f t="shared" si="1"/>
        <v>12210466.555399999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f>2595609.73</f>
        <v>2595609.73</v>
      </c>
      <c r="G214" s="18">
        <f>1190124.93+17538.5*0.13871</f>
        <v>1192557.6953349998</v>
      </c>
      <c r="H214" s="18">
        <f>1884.06-110</f>
        <v>1774.06</v>
      </c>
      <c r="I214" s="18">
        <f>87894.4-1127.16+559.75</f>
        <v>87326.989999999991</v>
      </c>
      <c r="J214" s="18">
        <f>23492.24</f>
        <v>23492.240000000002</v>
      </c>
      <c r="K214" s="18">
        <f>840</f>
        <v>840</v>
      </c>
      <c r="L214" s="19">
        <f>SUM(F214:K214)</f>
        <v>3901600.7153350003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f>840328.28+10408.12+14672.01+2533.25+2796.72+14883.55+4495.75</f>
        <v>890117.68</v>
      </c>
      <c r="G215" s="18">
        <f>358050.11+17538.5*0.04344</f>
        <v>358811.98243999999</v>
      </c>
      <c r="H215" s="18">
        <f>14495.49-3917.7+791.72+24054.79+153+186.32+1713.98+19.71</f>
        <v>37497.310000000005</v>
      </c>
      <c r="I215" s="18">
        <f>5681.85-7.45+135.84+328.97+12.18+3.84</f>
        <v>6155.2300000000014</v>
      </c>
      <c r="J215" s="18">
        <f>427.88</f>
        <v>427.88</v>
      </c>
      <c r="K215" s="18"/>
      <c r="L215" s="19">
        <f>SUM(F215:K215)</f>
        <v>1293010.08244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f>37540+6850+275.6</f>
        <v>44665.599999999999</v>
      </c>
      <c r="G217" s="18">
        <f>4263.48+0.01</f>
        <v>4263.49</v>
      </c>
      <c r="H217" s="18">
        <f>8475</f>
        <v>8475</v>
      </c>
      <c r="I217" s="18">
        <f>3219.88</f>
        <v>3219.88</v>
      </c>
      <c r="J217" s="18"/>
      <c r="K217" s="18">
        <f>3408.35</f>
        <v>3408.35</v>
      </c>
      <c r="L217" s="19">
        <f>SUM(F217:K217)</f>
        <v>64032.319999999992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168391.76+81162.43+3773.86+104972.15+21632.66+2814.15+18052.91</f>
        <v>400799.91999999993</v>
      </c>
      <c r="G219" s="18">
        <f>298.01+75561.73+28034.49+56604.28+8552.7+17538.5*(0.00824+0.00298+0.00708+0.00087)</f>
        <v>169387.42304500003</v>
      </c>
      <c r="H219" s="18">
        <f>8300+313+1595.44+46.12+27.1+222.3</f>
        <v>10503.960000000001</v>
      </c>
      <c r="I219" s="18">
        <f>287.82+946.39+995.63+723.98+60.8+124.38</f>
        <v>3139.0000000000005</v>
      </c>
      <c r="J219" s="18">
        <f>84</f>
        <v>84</v>
      </c>
      <c r="K219" s="18"/>
      <c r="L219" s="19">
        <f t="shared" ref="L219:L225" si="2">SUM(F219:K219)</f>
        <v>583914.30304499995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f>74563+11271.14+237.52</f>
        <v>86071.66</v>
      </c>
      <c r="G220" s="18">
        <f>44.21+36218.03+17538.5*0.00399</f>
        <v>36332.218614999998</v>
      </c>
      <c r="H220" s="18">
        <f>1917.63+1232.44+50.2+1657.96</f>
        <v>4858.2299999999996</v>
      </c>
      <c r="I220" s="18">
        <f>596.43+5327.19+12.56+144.85+297.18</f>
        <v>6378.2100000000009</v>
      </c>
      <c r="J220" s="18"/>
      <c r="K220" s="18"/>
      <c r="L220" s="19">
        <f t="shared" si="2"/>
        <v>133640.318615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f>94960.82+37.65+1645.62+939.74+74684.05+70406.39+50658.36+23567.75</f>
        <v>316900.38</v>
      </c>
      <c r="G221" s="18">
        <f>207.13+67871.12+76567.52+17538.5*(0.00811+0.00872)</f>
        <v>144940.94295500001</v>
      </c>
      <c r="H221" s="18">
        <f>3636.5+2723.35+1871.46+2150.82+1973.93+1949.87+126.76+465.41+349.42+1121.76+1038.94+445.57+125.69+606.39+34.15-61.5+300*0.246</f>
        <v>18632.32</v>
      </c>
      <c r="I221" s="18">
        <f>1922.03+45.16+520.91</f>
        <v>2488.1</v>
      </c>
      <c r="J221" s="18">
        <f>492.77</f>
        <v>492.77</v>
      </c>
      <c r="K221" s="18">
        <f>1599.84+1361.11+303.16</f>
        <v>3264.1099999999997</v>
      </c>
      <c r="L221" s="19">
        <f t="shared" si="2"/>
        <v>486718.62295499997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f>305839.68</f>
        <v>305839.68</v>
      </c>
      <c r="G222" s="18">
        <f>141079.79+17538.5*0.0169</f>
        <v>141376.19065</v>
      </c>
      <c r="H222" s="18">
        <f>992.36</f>
        <v>992.36</v>
      </c>
      <c r="I222" s="18">
        <f>1953.87</f>
        <v>1953.87</v>
      </c>
      <c r="J222" s="18">
        <f>1379.17</f>
        <v>1379.17</v>
      </c>
      <c r="K222" s="18">
        <f>2541</f>
        <v>2541</v>
      </c>
      <c r="L222" s="19">
        <f t="shared" si="2"/>
        <v>454082.27064999996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f>182091.3+17167.71+40236.54+3398.96</f>
        <v>242894.50999999998</v>
      </c>
      <c r="G224" s="18">
        <f>108727.3+827.95*0.251+24.6+17538.5*0.01321</f>
        <v>109191.39903500001</v>
      </c>
      <c r="H224" s="18">
        <f>39232.39-3791.55+9390.91+8417.08+1462.56+9562.86+17700.85+1474.97+1338.71+25931.69+9932.5+433.24+866.4+1445.65+121.26+105.16+4134.97-(2000*0.246)</f>
        <v>127267.65000000001</v>
      </c>
      <c r="I224" s="18">
        <f>190940.95+14126.47+2975.24+26.24</f>
        <v>208068.9</v>
      </c>
      <c r="J224" s="18">
        <f>3159</f>
        <v>3159</v>
      </c>
      <c r="K224" s="18"/>
      <c r="L224" s="19">
        <f t="shared" si="2"/>
        <v>690581.45903500007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f>65780.22-1284.75+204145.78+512.27+6543.9</f>
        <v>275697.42000000004</v>
      </c>
      <c r="I225" s="18"/>
      <c r="J225" s="18"/>
      <c r="K225" s="18"/>
      <c r="L225" s="19">
        <f t="shared" si="2"/>
        <v>275697.42000000004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f>31297.43+124251.69</f>
        <v>155549.12</v>
      </c>
      <c r="G226" s="18">
        <f>13745.12+17538.5*0.00172</f>
        <v>13775.28622</v>
      </c>
      <c r="H226" s="18">
        <f>2334.3+19851.86+400.41+6863.4+6367.96</f>
        <v>35817.93</v>
      </c>
      <c r="I226" s="18">
        <f>504.24+25.09+1505.84</f>
        <v>2035.17</v>
      </c>
      <c r="J226" s="18">
        <f>1220.47+10530.6</f>
        <v>11751.07</v>
      </c>
      <c r="K226" s="18"/>
      <c r="L226" s="19">
        <f>SUM(F226:K226)</f>
        <v>218928.57622000002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5038448.28</v>
      </c>
      <c r="G228" s="41">
        <f>SUM(G214:G227)</f>
        <v>2170636.6282949997</v>
      </c>
      <c r="H228" s="41">
        <f>SUM(H214:H227)</f>
        <v>521516.24000000005</v>
      </c>
      <c r="I228" s="41">
        <f>SUM(I214:I227)</f>
        <v>320765.34999999998</v>
      </c>
      <c r="J228" s="41">
        <f>SUM(J214:J227)</f>
        <v>40786.130000000005</v>
      </c>
      <c r="K228" s="41">
        <f t="shared" si="3"/>
        <v>10053.459999999999</v>
      </c>
      <c r="L228" s="41">
        <f t="shared" si="3"/>
        <v>8102206.0882950006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f>3336277.83</f>
        <v>3336277.83</v>
      </c>
      <c r="G232" s="18">
        <f>1526361.2+17538.5*0.17095</f>
        <v>1529359.4065749999</v>
      </c>
      <c r="H232" s="18">
        <f>5414.06</f>
        <v>5414.06</v>
      </c>
      <c r="I232" s="18">
        <f>162040.07-176.54+458.55</f>
        <v>162322.07999999999</v>
      </c>
      <c r="J232" s="18">
        <f>80313.4</f>
        <v>80313.399999999994</v>
      </c>
      <c r="K232" s="18">
        <f>1734</f>
        <v>1734</v>
      </c>
      <c r="L232" s="19">
        <f>SUM(F232:K232)</f>
        <v>5115420.776575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652840.8+119693.38+168728.11+690.89+762.74+20576.06+6215.25</f>
        <v>969507.2300000001</v>
      </c>
      <c r="G233" s="18">
        <f>398769.27+17538.5*0.04858</f>
        <v>399621.29033000005</v>
      </c>
      <c r="H233" s="18">
        <f>176395.06-18152.1+766.81+23297.83+148.19+2142.68+6395.35+2262.46+144.5</f>
        <v>193400.77999999997</v>
      </c>
      <c r="I233" s="18">
        <f>5091.56-614.11+1562.15+3783.14+140.05+28.16</f>
        <v>9990.9499999999989</v>
      </c>
      <c r="J233" s="18">
        <f>4920.62</f>
        <v>4920.62</v>
      </c>
      <c r="K233" s="18"/>
      <c r="L233" s="19">
        <f>SUM(F233:K233)</f>
        <v>1577440.8703300003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f>703232</f>
        <v>703232</v>
      </c>
      <c r="G234" s="18">
        <f>334264.59+17538.5*0.03698</f>
        <v>334913.16373000003</v>
      </c>
      <c r="H234" s="18">
        <f>22555.36-5316.44+95.43+3267.88</f>
        <v>20602.230000000003</v>
      </c>
      <c r="I234" s="18">
        <f>39509.45-1740.49+2091.04</f>
        <v>39860</v>
      </c>
      <c r="J234" s="18">
        <f>40804.43</f>
        <v>40804.43</v>
      </c>
      <c r="K234" s="18">
        <f>695</f>
        <v>695</v>
      </c>
      <c r="L234" s="19">
        <f>SUM(F234:K234)</f>
        <v>1140106.8237300001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f>127700.22+11392.69+381.01</f>
        <v>139473.92000000001</v>
      </c>
      <c r="G235" s="18">
        <f>12238.62</f>
        <v>12238.62</v>
      </c>
      <c r="H235" s="18">
        <f>40690.66+450+20</f>
        <v>41160.660000000003</v>
      </c>
      <c r="I235" s="18">
        <f>17787.16+370</f>
        <v>18157.16</v>
      </c>
      <c r="J235" s="18"/>
      <c r="K235" s="18">
        <f>9292</f>
        <v>9292</v>
      </c>
      <c r="L235" s="19">
        <f>SUM(F235:K235)</f>
        <v>220322.36000000002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15776.5+437807.35+80876.03+67182.17+13844.91+1504.41</f>
        <v>616991.37000000011</v>
      </c>
      <c r="G237" s="18">
        <f>6928.68+213230.72+29347.83+36226.74+992.58+17538.5*(0.00112+0.02305+0.00308+0.00393+0.00024)</f>
        <v>287277.60966999998</v>
      </c>
      <c r="H237" s="18">
        <f>6962.65-357+375.1+2659.06+29.52+2.26+222.3</f>
        <v>9893.89</v>
      </c>
      <c r="I237" s="18">
        <f>1999.84+1893.66-190.16+1659.39+1206.62+38.92+10.37+48.91+181.47</f>
        <v>6849.02</v>
      </c>
      <c r="J237" s="18">
        <f>95.93+540</f>
        <v>635.93000000000006</v>
      </c>
      <c r="K237" s="18">
        <f>304+135</f>
        <v>439</v>
      </c>
      <c r="L237" s="19">
        <f t="shared" ref="L237:L243" si="4">SUM(F237:K237)</f>
        <v>922086.81967000011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89747.64+21531.42+328.36</f>
        <v>111607.42</v>
      </c>
      <c r="G238" s="18">
        <f>61.11+41741.83+17538.5*0.00465</f>
        <v>41884.494025</v>
      </c>
      <c r="H238" s="18">
        <f>2919.56+1755.24-416.91+69.4+2292.07</f>
        <v>6619.3600000000006</v>
      </c>
      <c r="I238" s="18">
        <f>1000.93+16426.58+200.25+410.83+74.24+148.59</f>
        <v>18261.420000000006</v>
      </c>
      <c r="J238" s="18">
        <f>3300.32</f>
        <v>3300.32</v>
      </c>
      <c r="K238" s="18"/>
      <c r="L238" s="19">
        <f t="shared" si="4"/>
        <v>181673.01402500001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f>89208.14+52.05+2275.02+1299.17+103248.46+97334.73+49064.23+22826.1+94421+13910.56</f>
        <v>473639.45999999996</v>
      </c>
      <c r="G239" s="18">
        <f>286.36+93829.79+122104.63+17538.5*(0.01141+0.01567)</f>
        <v>216695.72258</v>
      </c>
      <c r="H239" s="18">
        <f>5027.35+3764.95+2587.23+2973.44+2728.89+2695.63+175.24+643.42+483.06+1086.46+800+1436.31+626.69+176.78+852.89+48.03-86.5+300*0.346</f>
        <v>26123.67</v>
      </c>
      <c r="I239" s="18">
        <f>2657.15+62.44+504.52</f>
        <v>3224.11</v>
      </c>
      <c r="J239" s="18">
        <f>477.27</f>
        <v>477.27</v>
      </c>
      <c r="K239" s="18">
        <f>2211.72+1881.68+293.62</f>
        <v>4387.0199999999995</v>
      </c>
      <c r="L239" s="19">
        <f t="shared" si="4"/>
        <v>724547.25258000009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f>402583.9</f>
        <v>402583.9</v>
      </c>
      <c r="G240" s="18">
        <f>197354.7+17538.5*0.02138</f>
        <v>197729.67313000001</v>
      </c>
      <c r="H240" s="18">
        <f>8698.68</f>
        <v>8698.68</v>
      </c>
      <c r="I240" s="18">
        <f>5727.21+931.85</f>
        <v>6659.06</v>
      </c>
      <c r="J240" s="18"/>
      <c r="K240" s="18">
        <f>17981.23-426.99+1317.61</f>
        <v>18871.849999999999</v>
      </c>
      <c r="L240" s="19">
        <f t="shared" si="4"/>
        <v>634543.16313000012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f>218742.68+24020.66+56298.04+4755.74</f>
        <v>303817.12</v>
      </c>
      <c r="G242" s="18">
        <f>136866.49+827.95*0.347+34.6+17538.5*0.01559</f>
        <v>137461.813865</v>
      </c>
      <c r="H242" s="18">
        <f>88556.03-9125.4+13139.54+11776.97+2046.39+13380.13+24766.62+2063.75+1873.09+35849.78+3493.88+738.8+1212.25+2022.71+169.66+147.14+5815.85-(2000*0.346)</f>
        <v>197235.19000000003</v>
      </c>
      <c r="I242" s="18">
        <f>179104-1791.48+19765.42+4162.88+727.67+36.71</f>
        <v>202005.2</v>
      </c>
      <c r="J242" s="18">
        <f>4420</f>
        <v>4420</v>
      </c>
      <c r="K242" s="18"/>
      <c r="L242" s="19">
        <f t="shared" si="4"/>
        <v>844939.32386500016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160334.35-4919.75+68048.6+268.56+872.27+60+2181.3</f>
        <v>226845.33</v>
      </c>
      <c r="I243" s="18"/>
      <c r="J243" s="18"/>
      <c r="K243" s="18"/>
      <c r="L243" s="19">
        <f t="shared" si="4"/>
        <v>226845.33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f>43267.76+102767.23</f>
        <v>146034.99</v>
      </c>
      <c r="G244" s="18">
        <f>19002.22+17538.5*0.00242</f>
        <v>19044.66317</v>
      </c>
      <c r="H244" s="18">
        <f>3227.1+27444.6+553.56+9653.4+8956.55</f>
        <v>49835.209999999992</v>
      </c>
      <c r="I244" s="18">
        <f>697.09+34.68+2081.77</f>
        <v>2813.54</v>
      </c>
      <c r="J244" s="18">
        <f>1687.27+14558.23</f>
        <v>16245.5</v>
      </c>
      <c r="K244" s="18"/>
      <c r="L244" s="19">
        <f>SUM(F244:K244)</f>
        <v>233973.90317000001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7203165.2400000012</v>
      </c>
      <c r="G246" s="41">
        <f t="shared" si="5"/>
        <v>3176226.4570749998</v>
      </c>
      <c r="H246" s="41">
        <f t="shared" si="5"/>
        <v>785829.05999999994</v>
      </c>
      <c r="I246" s="41">
        <f t="shared" si="5"/>
        <v>470142.54</v>
      </c>
      <c r="J246" s="41">
        <f t="shared" si="5"/>
        <v>151117.46999999997</v>
      </c>
      <c r="K246" s="41">
        <f t="shared" si="5"/>
        <v>35418.869999999995</v>
      </c>
      <c r="L246" s="41">
        <f t="shared" si="5"/>
        <v>11821899.637075003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f>37391</f>
        <v>37391</v>
      </c>
      <c r="I254" s="18"/>
      <c r="J254" s="18"/>
      <c r="K254" s="18"/>
      <c r="L254" s="19">
        <f t="shared" si="6"/>
        <v>37391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37391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37391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19876599.32</v>
      </c>
      <c r="G256" s="41">
        <f t="shared" si="8"/>
        <v>8573335.1107700001</v>
      </c>
      <c r="H256" s="41">
        <f t="shared" si="8"/>
        <v>2293146.79</v>
      </c>
      <c r="I256" s="41">
        <f t="shared" si="8"/>
        <v>1154283.1599999999</v>
      </c>
      <c r="J256" s="41">
        <f t="shared" si="8"/>
        <v>219871.63999999998</v>
      </c>
      <c r="K256" s="41">
        <f t="shared" si="8"/>
        <v>54727.259999999995</v>
      </c>
      <c r="L256" s="41">
        <f t="shared" si="8"/>
        <v>32171963.280770004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f>991941.24</f>
        <v>991941.24</v>
      </c>
      <c r="L259" s="19">
        <f>SUM(F259:K259)</f>
        <v>991941.24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f>419666.41</f>
        <v>419666.41</v>
      </c>
      <c r="L260" s="19">
        <f>SUM(F260:K260)</f>
        <v>419666.41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f>67876.87</f>
        <v>67876.87</v>
      </c>
      <c r="L262" s="19">
        <f>SUM(F262:K262)</f>
        <v>67876.87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1479484.52</v>
      </c>
      <c r="L269" s="41">
        <f t="shared" si="9"/>
        <v>1479484.52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19876599.32</v>
      </c>
      <c r="G270" s="42">
        <f t="shared" si="11"/>
        <v>8573335.1107700001</v>
      </c>
      <c r="H270" s="42">
        <f t="shared" si="11"/>
        <v>2293146.79</v>
      </c>
      <c r="I270" s="42">
        <f t="shared" si="11"/>
        <v>1154283.1599999999</v>
      </c>
      <c r="J270" s="42">
        <f t="shared" si="11"/>
        <v>219871.63999999998</v>
      </c>
      <c r="K270" s="42">
        <f t="shared" si="11"/>
        <v>1534211.78</v>
      </c>
      <c r="L270" s="42">
        <f t="shared" si="11"/>
        <v>33651447.800770007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65412.5</f>
        <v>65412.5</v>
      </c>
      <c r="G275" s="18">
        <f>18005.28</f>
        <v>18005.28</v>
      </c>
      <c r="H275" s="18"/>
      <c r="I275" s="18"/>
      <c r="J275" s="18"/>
      <c r="K275" s="18"/>
      <c r="L275" s="19">
        <f>SUM(F275:K275)</f>
        <v>83417.78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181652.56+21360.8+1708.8</f>
        <v>204722.15999999997</v>
      </c>
      <c r="G276" s="18">
        <f>16298.8+5051.36+249.65</f>
        <v>21599.81</v>
      </c>
      <c r="H276" s="18">
        <f>69700.85</f>
        <v>69700.850000000006</v>
      </c>
      <c r="I276" s="18">
        <f>17602.32+8306.78+585.96</f>
        <v>26495.059999999998</v>
      </c>
      <c r="J276" s="18">
        <f>2056</f>
        <v>2056</v>
      </c>
      <c r="K276" s="18"/>
      <c r="L276" s="19">
        <f>SUM(F276:K276)</f>
        <v>324573.87999999995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f>24730</f>
        <v>24730</v>
      </c>
      <c r="G278" s="18">
        <f>3469.25</f>
        <v>3469.25</v>
      </c>
      <c r="H278" s="18"/>
      <c r="I278" s="18">
        <f>6308.1</f>
        <v>6308.1</v>
      </c>
      <c r="J278" s="18">
        <f>1359.38</f>
        <v>1359.38</v>
      </c>
      <c r="K278" s="18"/>
      <c r="L278" s="19">
        <f>SUM(F278:K278)</f>
        <v>35866.729999999996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f>558.12+58113.88+16232.08</f>
        <v>74904.08</v>
      </c>
      <c r="G280" s="18">
        <f>42.69+22985.69+15649.54</f>
        <v>38677.919999999998</v>
      </c>
      <c r="H280" s="18">
        <f>5856.26+135.68</f>
        <v>5991.9400000000005</v>
      </c>
      <c r="I280" s="18">
        <f>1179.67+544.77+695.61</f>
        <v>2420.0500000000002</v>
      </c>
      <c r="J280" s="18">
        <f>75.98</f>
        <v>75.98</v>
      </c>
      <c r="K280" s="18"/>
      <c r="L280" s="19">
        <f t="shared" ref="L280:L286" si="12">SUM(F280:K280)</f>
        <v>122069.97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f>24514.33+400</f>
        <v>24914.33</v>
      </c>
      <c r="G281" s="18">
        <f>2844+1131.73</f>
        <v>3975.73</v>
      </c>
      <c r="H281" s="18">
        <f>13282+1296.45+3770.34</f>
        <v>18348.79</v>
      </c>
      <c r="I281" s="18">
        <f>2889.1+440.99</f>
        <v>3330.09</v>
      </c>
      <c r="J281" s="18"/>
      <c r="K281" s="18"/>
      <c r="L281" s="19">
        <f t="shared" si="12"/>
        <v>50568.94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f>6850+64390</f>
        <v>71240</v>
      </c>
      <c r="G282" s="18">
        <f>1138.64+19925.78</f>
        <v>21064.42</v>
      </c>
      <c r="H282" s="18">
        <f>701.87</f>
        <v>701.87</v>
      </c>
      <c r="I282" s="18"/>
      <c r="J282" s="18"/>
      <c r="K282" s="18"/>
      <c r="L282" s="19">
        <f t="shared" si="12"/>
        <v>93006.29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f>5085</f>
        <v>5085</v>
      </c>
      <c r="I286" s="18"/>
      <c r="J286" s="18"/>
      <c r="K286" s="18"/>
      <c r="L286" s="19">
        <f t="shared" si="12"/>
        <v>5085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465923.07</v>
      </c>
      <c r="G289" s="42">
        <f t="shared" si="13"/>
        <v>106792.40999999999</v>
      </c>
      <c r="H289" s="42">
        <f t="shared" si="13"/>
        <v>99828.450000000012</v>
      </c>
      <c r="I289" s="42">
        <f t="shared" si="13"/>
        <v>38553.300000000003</v>
      </c>
      <c r="J289" s="42">
        <f t="shared" si="13"/>
        <v>3491.36</v>
      </c>
      <c r="K289" s="42">
        <f t="shared" si="13"/>
        <v>0</v>
      </c>
      <c r="L289" s="41">
        <f t="shared" si="13"/>
        <v>714588.58999999985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f>11027.28</f>
        <v>11027.28</v>
      </c>
      <c r="G295" s="18">
        <f>4998.86</f>
        <v>4998.8599999999997</v>
      </c>
      <c r="H295" s="18"/>
      <c r="I295" s="18">
        <f>11.92</f>
        <v>11.92</v>
      </c>
      <c r="J295" s="18"/>
      <c r="K295" s="18"/>
      <c r="L295" s="19">
        <f>SUM(F295:K295)</f>
        <v>16038.06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>
        <v>2487</v>
      </c>
      <c r="K297" s="18"/>
      <c r="L297" s="19">
        <f>SUM(F297:K297)</f>
        <v>2487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f>348.48+87170.83+6878</f>
        <v>94397.31</v>
      </c>
      <c r="G299" s="18">
        <f>26.66+34478.53+6631.16</f>
        <v>41136.350000000006</v>
      </c>
      <c r="H299" s="18">
        <f>3656.53+84.72</f>
        <v>3741.25</v>
      </c>
      <c r="I299" s="18">
        <f>340.14</f>
        <v>340.14</v>
      </c>
      <c r="J299" s="18">
        <f>47.44</f>
        <v>47.44</v>
      </c>
      <c r="K299" s="18"/>
      <c r="L299" s="19">
        <f t="shared" ref="L299:L305" si="14">SUM(F299:K299)</f>
        <v>139662.49000000002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f>6936+200</f>
        <v>7136</v>
      </c>
      <c r="G300" s="18">
        <f>706.63</f>
        <v>706.63</v>
      </c>
      <c r="H300" s="18">
        <f>809.47+2354.12</f>
        <v>3163.59</v>
      </c>
      <c r="I300" s="18">
        <f>275.35</f>
        <v>275.35000000000002</v>
      </c>
      <c r="J300" s="18"/>
      <c r="K300" s="18"/>
      <c r="L300" s="19">
        <f t="shared" si="14"/>
        <v>11281.570000000002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>
        <f>30.25</f>
        <v>30.25</v>
      </c>
      <c r="J301" s="18"/>
      <c r="K301" s="18"/>
      <c r="L301" s="19">
        <f t="shared" si="14"/>
        <v>30.25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112560.59</v>
      </c>
      <c r="G308" s="42">
        <f t="shared" si="15"/>
        <v>46841.840000000004</v>
      </c>
      <c r="H308" s="42">
        <f t="shared" si="15"/>
        <v>6904.84</v>
      </c>
      <c r="I308" s="42">
        <f t="shared" si="15"/>
        <v>657.66000000000008</v>
      </c>
      <c r="J308" s="42">
        <f t="shared" si="15"/>
        <v>2534.44</v>
      </c>
      <c r="K308" s="42">
        <f t="shared" si="15"/>
        <v>0</v>
      </c>
      <c r="L308" s="41">
        <f t="shared" si="15"/>
        <v>169499.37000000002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f>49248.97</f>
        <v>49248.97</v>
      </c>
      <c r="G313" s="18">
        <f>9360.17</f>
        <v>9360.17</v>
      </c>
      <c r="H313" s="18"/>
      <c r="I313" s="18">
        <f>67.46+1030.63</f>
        <v>1098.0900000000001</v>
      </c>
      <c r="J313" s="18"/>
      <c r="K313" s="18"/>
      <c r="L313" s="19">
        <f>SUM(F313:K313)</f>
        <v>59707.229999999996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f>126813.72</f>
        <v>126813.72</v>
      </c>
      <c r="G314" s="18">
        <f>57486.94</f>
        <v>57486.94</v>
      </c>
      <c r="H314" s="18"/>
      <c r="I314" s="18">
        <f>137.04</f>
        <v>137.04</v>
      </c>
      <c r="J314" s="18"/>
      <c r="K314" s="18"/>
      <c r="L314" s="19">
        <f>SUM(F314:K314)</f>
        <v>184437.7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f>63894</f>
        <v>63894</v>
      </c>
      <c r="G315" s="18">
        <f>26687.38</f>
        <v>26687.38</v>
      </c>
      <c r="H315" s="18">
        <f>2410</f>
        <v>2410</v>
      </c>
      <c r="I315" s="18">
        <f>1998</f>
        <v>1998</v>
      </c>
      <c r="J315" s="18">
        <f>12934.98</f>
        <v>12934.98</v>
      </c>
      <c r="K315" s="18"/>
      <c r="L315" s="19">
        <f>SUM(F315:K315)</f>
        <v>107924.36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f>500</f>
        <v>500</v>
      </c>
      <c r="G316" s="18"/>
      <c r="H316" s="18"/>
      <c r="I316" s="18">
        <f>1504.39</f>
        <v>1504.39</v>
      </c>
      <c r="J316" s="18"/>
      <c r="K316" s="18"/>
      <c r="L316" s="19">
        <f>SUM(F316:K316)</f>
        <v>2004.39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f>2171.77+481.76+145284.72+4401.92</f>
        <v>152340.17000000001</v>
      </c>
      <c r="G318" s="18">
        <f>359.21+36.85+57464.22+4243.95</f>
        <v>62104.229999999996</v>
      </c>
      <c r="H318" s="18">
        <f>6310+5055.04+117.12</f>
        <v>11482.160000000002</v>
      </c>
      <c r="I318" s="18">
        <f>470.23</f>
        <v>470.23</v>
      </c>
      <c r="J318" s="18">
        <f>65.58</f>
        <v>65.58</v>
      </c>
      <c r="K318" s="18"/>
      <c r="L318" s="19">
        <f t="shared" ref="L318:L324" si="16">SUM(F318:K318)</f>
        <v>226462.37000000002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f>4042+200</f>
        <v>4242</v>
      </c>
      <c r="G319" s="18">
        <f>976.89</f>
        <v>976.89</v>
      </c>
      <c r="H319" s="18">
        <f>370+1119.08+3254.5</f>
        <v>4743.58</v>
      </c>
      <c r="I319" s="18">
        <f>380.66</f>
        <v>380.66</v>
      </c>
      <c r="J319" s="18"/>
      <c r="K319" s="18"/>
      <c r="L319" s="19">
        <f t="shared" si="16"/>
        <v>10343.130000000001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>
        <f>347.92</f>
        <v>347.92</v>
      </c>
      <c r="J320" s="18"/>
      <c r="K320" s="18"/>
      <c r="L320" s="19">
        <f t="shared" si="16"/>
        <v>347.92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>
        <f>3612.24</f>
        <v>3612.24</v>
      </c>
      <c r="I324" s="18">
        <f>3864.92</f>
        <v>3864.92</v>
      </c>
      <c r="J324" s="18"/>
      <c r="K324" s="18"/>
      <c r="L324" s="19">
        <f t="shared" si="16"/>
        <v>7477.16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397038.86</v>
      </c>
      <c r="G327" s="42">
        <f t="shared" si="17"/>
        <v>156615.61000000002</v>
      </c>
      <c r="H327" s="42">
        <f t="shared" si="17"/>
        <v>22247.980000000003</v>
      </c>
      <c r="I327" s="42">
        <f t="shared" si="17"/>
        <v>9801.25</v>
      </c>
      <c r="J327" s="42">
        <f t="shared" si="17"/>
        <v>13000.56</v>
      </c>
      <c r="K327" s="42">
        <f t="shared" si="17"/>
        <v>0</v>
      </c>
      <c r="L327" s="41">
        <f t="shared" si="17"/>
        <v>598704.26000000013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f>6240</f>
        <v>6240</v>
      </c>
      <c r="G332" s="18">
        <f>1166.05</f>
        <v>1166.05</v>
      </c>
      <c r="H332" s="18"/>
      <c r="I332" s="18">
        <v>275</v>
      </c>
      <c r="J332" s="18"/>
      <c r="K332" s="18"/>
      <c r="L332" s="19">
        <f t="shared" si="18"/>
        <v>7681.05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6240</v>
      </c>
      <c r="G336" s="41">
        <f t="shared" si="19"/>
        <v>1166.05</v>
      </c>
      <c r="H336" s="41">
        <f t="shared" si="19"/>
        <v>0</v>
      </c>
      <c r="I336" s="41">
        <f t="shared" si="19"/>
        <v>275</v>
      </c>
      <c r="J336" s="41">
        <f t="shared" si="19"/>
        <v>0</v>
      </c>
      <c r="K336" s="41">
        <f t="shared" si="19"/>
        <v>0</v>
      </c>
      <c r="L336" s="41">
        <f t="shared" si="18"/>
        <v>7681.05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981762.52</v>
      </c>
      <c r="G337" s="41">
        <f t="shared" si="20"/>
        <v>311415.90999999997</v>
      </c>
      <c r="H337" s="41">
        <f t="shared" si="20"/>
        <v>128981.27000000002</v>
      </c>
      <c r="I337" s="41">
        <f t="shared" si="20"/>
        <v>49287.210000000006</v>
      </c>
      <c r="J337" s="41">
        <f t="shared" si="20"/>
        <v>19026.36</v>
      </c>
      <c r="K337" s="41">
        <f t="shared" si="20"/>
        <v>0</v>
      </c>
      <c r="L337" s="41">
        <f t="shared" si="20"/>
        <v>1490473.27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981762.52</v>
      </c>
      <c r="G351" s="41">
        <f>G337</f>
        <v>311415.90999999997</v>
      </c>
      <c r="H351" s="41">
        <f>H337</f>
        <v>128981.27000000002</v>
      </c>
      <c r="I351" s="41">
        <f>I337</f>
        <v>49287.210000000006</v>
      </c>
      <c r="J351" s="41">
        <f>J337</f>
        <v>19026.36</v>
      </c>
      <c r="K351" s="47">
        <f>K337+K350</f>
        <v>0</v>
      </c>
      <c r="L351" s="41">
        <f>L337+L350</f>
        <v>1490473.27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136361.41</f>
        <v>136361.41</v>
      </c>
      <c r="G357" s="18">
        <f>35464.85</f>
        <v>35464.85</v>
      </c>
      <c r="H357" s="18">
        <f>796+1290.54</f>
        <v>2086.54</v>
      </c>
      <c r="I357" s="18">
        <f>12748.36+128090.91</f>
        <v>140839.27000000002</v>
      </c>
      <c r="J357" s="18"/>
      <c r="K357" s="18">
        <f>105.75+35.25</f>
        <v>141</v>
      </c>
      <c r="L357" s="13">
        <f>SUM(F357:K357)</f>
        <v>314893.07000000007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f>97238.69</f>
        <v>97238.69</v>
      </c>
      <c r="G358" s="18">
        <f>28655.77</f>
        <v>28655.77</v>
      </c>
      <c r="H358" s="18">
        <f>1269.05+162.52</f>
        <v>1431.57</v>
      </c>
      <c r="I358" s="18">
        <f>7896.66+92719.44</f>
        <v>100616.1</v>
      </c>
      <c r="J358" s="18"/>
      <c r="K358" s="18"/>
      <c r="L358" s="19">
        <f>SUM(F358:K358)</f>
        <v>227942.13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f>104348.28</f>
        <v>104348.28</v>
      </c>
      <c r="G359" s="18">
        <f>32901.4</f>
        <v>32901.4</v>
      </c>
      <c r="H359" s="18">
        <f>874+302.86</f>
        <v>1176.8600000000001</v>
      </c>
      <c r="I359" s="18">
        <f>17803.17+138005.16</f>
        <v>155808.33000000002</v>
      </c>
      <c r="J359" s="18">
        <f>1698</f>
        <v>1698</v>
      </c>
      <c r="K359" s="18">
        <f>37.25</f>
        <v>37.25</v>
      </c>
      <c r="L359" s="19">
        <f>SUM(F359:K359)</f>
        <v>295970.12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337948.38</v>
      </c>
      <c r="G361" s="47">
        <f t="shared" si="22"/>
        <v>97022.01999999999</v>
      </c>
      <c r="H361" s="47">
        <f t="shared" si="22"/>
        <v>4694.9699999999993</v>
      </c>
      <c r="I361" s="47">
        <f t="shared" si="22"/>
        <v>397263.70000000007</v>
      </c>
      <c r="J361" s="47">
        <f t="shared" si="22"/>
        <v>1698</v>
      </c>
      <c r="K361" s="47">
        <f t="shared" si="22"/>
        <v>178.25</v>
      </c>
      <c r="L361" s="47">
        <f t="shared" si="22"/>
        <v>838805.32000000007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128090.91</f>
        <v>128090.91</v>
      </c>
      <c r="G366" s="18">
        <f>92719.44</f>
        <v>92719.44</v>
      </c>
      <c r="H366" s="18">
        <f>138005.16</f>
        <v>138005.16</v>
      </c>
      <c r="I366" s="56">
        <f>SUM(F366:H366)</f>
        <v>358815.51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140839.27-128090.91</f>
        <v>12748.359999999986</v>
      </c>
      <c r="G367" s="63">
        <f>100616.1-92719.44</f>
        <v>7896.6600000000035</v>
      </c>
      <c r="H367" s="63">
        <f>155808.33-138005.16</f>
        <v>17803.169999999984</v>
      </c>
      <c r="I367" s="56">
        <f>SUM(F367:H367)</f>
        <v>38448.189999999973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140839.26999999999</v>
      </c>
      <c r="G368" s="47">
        <f>SUM(G366:G367)</f>
        <v>100616.1</v>
      </c>
      <c r="H368" s="47">
        <f>SUM(H366:H367)</f>
        <v>155808.32999999999</v>
      </c>
      <c r="I368" s="47">
        <f>SUM(I366:I367)</f>
        <v>397263.69999999995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f>1996.73+30.42+62.64+42.03+1571.2+60.64+32.53</f>
        <v>3796.1900000000005</v>
      </c>
      <c r="I399" s="18">
        <f>9757+2035+2550+1174.65+14.56+55.49+23.83+899.25+34.34+18.44</f>
        <v>16562.559999999998</v>
      </c>
      <c r="J399" s="24" t="s">
        <v>289</v>
      </c>
      <c r="K399" s="24" t="s">
        <v>289</v>
      </c>
      <c r="L399" s="56">
        <f t="shared" si="26"/>
        <v>20358.75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3796.1900000000005</v>
      </c>
      <c r="I400" s="47">
        <f>SUM(I394:I399)</f>
        <v>16562.559999999998</v>
      </c>
      <c r="J400" s="45" t="s">
        <v>289</v>
      </c>
      <c r="K400" s="45" t="s">
        <v>289</v>
      </c>
      <c r="L400" s="47">
        <f>SUM(L394:L399)</f>
        <v>20358.75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 t="s">
        <v>909</v>
      </c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>
        <f>42596.32</f>
        <v>42596.32</v>
      </c>
      <c r="I402" s="18">
        <f>46463.86</f>
        <v>46463.86</v>
      </c>
      <c r="J402" s="24" t="s">
        <v>289</v>
      </c>
      <c r="K402" s="24" t="s">
        <v>289</v>
      </c>
      <c r="L402" s="56">
        <f>SUM(F402:K402)</f>
        <v>89060.18</v>
      </c>
      <c r="M402" s="8"/>
      <c r="N402" s="272"/>
    </row>
    <row r="403" spans="1:21" s="3" customFormat="1" ht="12" customHeight="1" x14ac:dyDescent="0.15">
      <c r="A403" s="110" t="s">
        <v>910</v>
      </c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>
        <v>8767.26</v>
      </c>
      <c r="I403" s="18">
        <f>12102.94</f>
        <v>12102.94</v>
      </c>
      <c r="J403" s="24" t="s">
        <v>289</v>
      </c>
      <c r="K403" s="24" t="s">
        <v>289</v>
      </c>
      <c r="L403" s="56">
        <f>SUM(F403:K403)</f>
        <v>20870.2</v>
      </c>
      <c r="M403" s="8"/>
      <c r="N403" s="272"/>
    </row>
    <row r="404" spans="1:21" s="3" customFormat="1" ht="12" customHeight="1" x14ac:dyDescent="0.15">
      <c r="A404" s="110" t="s">
        <v>911</v>
      </c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>
        <f>7848.63</f>
        <v>7848.63</v>
      </c>
      <c r="I404" s="18">
        <f>4446.69</f>
        <v>4446.6899999999996</v>
      </c>
      <c r="J404" s="24" t="s">
        <v>289</v>
      </c>
      <c r="K404" s="24" t="s">
        <v>289</v>
      </c>
      <c r="L404" s="56">
        <f>SUM(F404:K404)</f>
        <v>12295.32</v>
      </c>
      <c r="M404" s="8"/>
      <c r="N404" s="272"/>
    </row>
    <row r="405" spans="1:21" s="3" customFormat="1" ht="12" customHeight="1" thickBot="1" x14ac:dyDescent="0.2">
      <c r="A405" s="110" t="s">
        <v>912</v>
      </c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>
        <f>369.85+278.41+571.29+7518.54+3320.48+884.01+660.72</f>
        <v>13603.3</v>
      </c>
      <c r="I405" s="18">
        <f>20000+209.54+246.66+323.65+4259.68+1881.24+500.85+374.34</f>
        <v>27795.960000000003</v>
      </c>
      <c r="J405" s="24" t="s">
        <v>289</v>
      </c>
      <c r="K405" s="24" t="s">
        <v>289</v>
      </c>
      <c r="L405" s="56">
        <f>SUM(F405:K405)</f>
        <v>41399.26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72815.509999999995</v>
      </c>
      <c r="I406" s="47">
        <f>SUM(I402:I405)</f>
        <v>90809.450000000012</v>
      </c>
      <c r="J406" s="49" t="s">
        <v>289</v>
      </c>
      <c r="K406" s="49" t="s">
        <v>289</v>
      </c>
      <c r="L406" s="47">
        <f>SUM(L402:L405)</f>
        <v>163624.95999999999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76611.7</v>
      </c>
      <c r="I407" s="47">
        <f>I392+I400+I406</f>
        <v>107372.01000000001</v>
      </c>
      <c r="J407" s="24" t="s">
        <v>289</v>
      </c>
      <c r="K407" s="24" t="s">
        <v>289</v>
      </c>
      <c r="L407" s="47">
        <f>L392+L400+L406</f>
        <v>183983.71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>
        <f>500+1500</f>
        <v>2000</v>
      </c>
      <c r="I425" s="18">
        <f>1001.93</f>
        <v>1001.93</v>
      </c>
      <c r="J425" s="18"/>
      <c r="K425" s="18"/>
      <c r="L425" s="56">
        <f t="shared" si="29"/>
        <v>3001.93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2000</v>
      </c>
      <c r="I426" s="47">
        <f t="shared" si="30"/>
        <v>1001.93</v>
      </c>
      <c r="J426" s="47">
        <f t="shared" si="30"/>
        <v>0</v>
      </c>
      <c r="K426" s="47">
        <f t="shared" si="30"/>
        <v>0</v>
      </c>
      <c r="L426" s="47">
        <f t="shared" si="30"/>
        <v>3001.93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 t="s">
        <v>909</v>
      </c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>
        <f>7450.22</f>
        <v>7450.22</v>
      </c>
      <c r="K428" s="18">
        <f>30000</f>
        <v>30000</v>
      </c>
      <c r="L428" s="56">
        <f>SUM(F428:K428)</f>
        <v>37450.22</v>
      </c>
      <c r="M428" s="68"/>
      <c r="N428" s="227"/>
    </row>
    <row r="429" spans="1:21" s="58" customFormat="1" ht="12" customHeight="1" x14ac:dyDescent="0.15">
      <c r="A429" s="110" t="s">
        <v>910</v>
      </c>
      <c r="B429" s="6">
        <v>17</v>
      </c>
      <c r="C429" s="6">
        <v>16</v>
      </c>
      <c r="D429" s="2" t="s">
        <v>433</v>
      </c>
      <c r="E429" s="6"/>
      <c r="F429" s="18"/>
      <c r="G429" s="18"/>
      <c r="H429" s="18">
        <v>500</v>
      </c>
      <c r="I429" s="18"/>
      <c r="J429" s="18"/>
      <c r="K429" s="18">
        <v>5000</v>
      </c>
      <c r="L429" s="56">
        <f>SUM(F429:K429)</f>
        <v>5500</v>
      </c>
      <c r="M429" s="68"/>
      <c r="N429" s="227"/>
    </row>
    <row r="430" spans="1:21" ht="12" customHeight="1" x14ac:dyDescent="0.2">
      <c r="A430" s="110" t="s">
        <v>911</v>
      </c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 t="s">
        <v>912</v>
      </c>
      <c r="B431" s="6">
        <v>17</v>
      </c>
      <c r="C431" s="6">
        <v>18</v>
      </c>
      <c r="D431" s="2" t="s">
        <v>433</v>
      </c>
      <c r="E431" s="6"/>
      <c r="F431" s="18"/>
      <c r="G431" s="18"/>
      <c r="H431" s="18">
        <f>11338-4558-2000-500</f>
        <v>4280</v>
      </c>
      <c r="I431" s="18"/>
      <c r="J431" s="18">
        <f>4558</f>
        <v>4558</v>
      </c>
      <c r="K431" s="18"/>
      <c r="L431" s="56">
        <f>SUM(F431:K431)</f>
        <v>8838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4780</v>
      </c>
      <c r="I432" s="47">
        <f t="shared" si="31"/>
        <v>0</v>
      </c>
      <c r="J432" s="47">
        <f t="shared" si="31"/>
        <v>12008.220000000001</v>
      </c>
      <c r="K432" s="47">
        <f t="shared" si="31"/>
        <v>35000</v>
      </c>
      <c r="L432" s="47">
        <f t="shared" si="31"/>
        <v>51788.22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6780</v>
      </c>
      <c r="I433" s="47">
        <f t="shared" si="32"/>
        <v>1001.93</v>
      </c>
      <c r="J433" s="47">
        <f t="shared" si="32"/>
        <v>12008.220000000001</v>
      </c>
      <c r="K433" s="47">
        <f t="shared" si="32"/>
        <v>35000</v>
      </c>
      <c r="L433" s="47">
        <f t="shared" si="32"/>
        <v>54790.15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>
        <f>138665.17</f>
        <v>138665.17000000001</v>
      </c>
      <c r="H441" s="18">
        <f>2617924.2</f>
        <v>2617924.2000000002</v>
      </c>
      <c r="I441" s="56">
        <f t="shared" si="33"/>
        <v>2756589.37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138665.17000000001</v>
      </c>
      <c r="H445" s="13">
        <f>SUM(H438:H444)</f>
        <v>2617924.2000000002</v>
      </c>
      <c r="I445" s="13">
        <f>SUM(I438:I444)</f>
        <v>2756589.37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>
        <v>74085.789999999994</v>
      </c>
      <c r="H455" s="18"/>
      <c r="I455" s="56">
        <f t="shared" si="34"/>
        <v>74085.789999999994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>
        <f>52853.21+1367.17+652.54+1972.6+6099.28+1058.07</f>
        <v>64002.869999999995</v>
      </c>
      <c r="H456" s="18">
        <f>2467842.16</f>
        <v>2467842.16</v>
      </c>
      <c r="I456" s="56">
        <f t="shared" si="34"/>
        <v>2531845.0300000003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>
        <f>1281.61+288.06-397.8-872.16+53.85+222.95</f>
        <v>576.51</v>
      </c>
      <c r="H457" s="18">
        <f>150082.04</f>
        <v>150082.04</v>
      </c>
      <c r="I457" s="56">
        <f t="shared" si="34"/>
        <v>150658.55000000002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/>
      <c r="I458" s="56">
        <f t="shared" si="34"/>
        <v>0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138665.16999999998</v>
      </c>
      <c r="H459" s="83">
        <f>SUM(H453:H458)</f>
        <v>2617924.2000000002</v>
      </c>
      <c r="I459" s="83">
        <f>SUM(I453:I458)</f>
        <v>2756589.37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138665.16999999998</v>
      </c>
      <c r="H460" s="42">
        <f>H451+H459</f>
        <v>2617924.2000000002</v>
      </c>
      <c r="I460" s="42">
        <f>I451+I459</f>
        <v>2756589.37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847537.84</v>
      </c>
      <c r="G464" s="18">
        <v>98978.69</v>
      </c>
      <c r="H464" s="18">
        <f>3082.38+66624.56</f>
        <v>69706.94</v>
      </c>
      <c r="I464" s="18">
        <v>0</v>
      </c>
      <c r="J464" s="18">
        <v>2627395.81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33755635.44</f>
        <v>33755635.439999998</v>
      </c>
      <c r="G467" s="18">
        <f>770928.45+67876.87</f>
        <v>838805.32</v>
      </c>
      <c r="H467" s="18">
        <f>74880+1425405.94</f>
        <v>1500285.94</v>
      </c>
      <c r="I467" s="18">
        <v>0</v>
      </c>
      <c r="J467" s="18">
        <v>183983.71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33755635.439999998</v>
      </c>
      <c r="G469" s="53">
        <f>SUM(G467:G468)</f>
        <v>838805.32</v>
      </c>
      <c r="H469" s="53">
        <f>SUM(H467:H468)</f>
        <v>1500285.94</v>
      </c>
      <c r="I469" s="53">
        <f>SUM(I467:I468)</f>
        <v>0</v>
      </c>
      <c r="J469" s="53">
        <f>SUM(J467:J468)</f>
        <v>183983.71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33506685.59-94954.19+171839.53+67876.87</f>
        <v>33651447.799999997</v>
      </c>
      <c r="G471" s="18">
        <f>838805.32</f>
        <v>838805.32</v>
      </c>
      <c r="H471" s="18">
        <f>67554.39+1422918.88</f>
        <v>1490473.2699999998</v>
      </c>
      <c r="I471" s="18">
        <v>0</v>
      </c>
      <c r="J471" s="18">
        <f>54790.15</f>
        <v>54790.15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33651447.799999997</v>
      </c>
      <c r="G473" s="53">
        <f>SUM(G471:G472)</f>
        <v>838805.32</v>
      </c>
      <c r="H473" s="53">
        <f>SUM(H471:H472)</f>
        <v>1490473.2699999998</v>
      </c>
      <c r="I473" s="53">
        <f>SUM(I471:I472)</f>
        <v>0</v>
      </c>
      <c r="J473" s="53">
        <f>SUM(J471:J472)</f>
        <v>54790.15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951725.48000000417</v>
      </c>
      <c r="G475" s="53">
        <f>(G464+G469)- G473</f>
        <v>98978.690000000061</v>
      </c>
      <c r="H475" s="53">
        <f>(H464+H469)- H473</f>
        <v>79519.610000000102</v>
      </c>
      <c r="I475" s="53">
        <f>(I464+I469)- I473</f>
        <v>0</v>
      </c>
      <c r="J475" s="53">
        <f>(J464+J469)- J473</f>
        <v>2756589.37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15</v>
      </c>
      <c r="G489" s="154">
        <v>20</v>
      </c>
      <c r="H489" s="154">
        <v>10</v>
      </c>
      <c r="I489" s="154">
        <v>20</v>
      </c>
      <c r="J489" s="154">
        <v>5</v>
      </c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913</v>
      </c>
      <c r="G490" s="155" t="s">
        <v>914</v>
      </c>
      <c r="H490" s="275" t="s">
        <v>920</v>
      </c>
      <c r="I490" s="275" t="s">
        <v>915</v>
      </c>
      <c r="J490" s="275" t="s">
        <v>922</v>
      </c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916</v>
      </c>
      <c r="G491" s="155" t="s">
        <v>917</v>
      </c>
      <c r="H491" s="275" t="s">
        <v>921</v>
      </c>
      <c r="I491" s="275" t="s">
        <v>919</v>
      </c>
      <c r="J491" s="275" t="s">
        <v>918</v>
      </c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1292240</v>
      </c>
      <c r="G492" s="18">
        <v>4393500</v>
      </c>
      <c r="H492" s="18">
        <v>1404300</v>
      </c>
      <c r="I492" s="18">
        <v>10895000</v>
      </c>
      <c r="J492" s="18">
        <v>438009</v>
      </c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4.62</v>
      </c>
      <c r="G493" s="18">
        <v>4.43</v>
      </c>
      <c r="H493" s="18">
        <v>5.0999999999999996</v>
      </c>
      <c r="I493" s="18">
        <v>5.58</v>
      </c>
      <c r="J493" s="18">
        <v>2.56</v>
      </c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80000</v>
      </c>
      <c r="G494" s="18">
        <v>3515000</v>
      </c>
      <c r="H494" s="18">
        <v>0</v>
      </c>
      <c r="I494" s="18">
        <v>4355000</v>
      </c>
      <c r="J494" s="18">
        <v>256329</v>
      </c>
      <c r="K494" s="53">
        <f>SUM(F494:J494)</f>
        <v>8206329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>
        <v>0</v>
      </c>
      <c r="H495" s="18">
        <v>0</v>
      </c>
      <c r="I495" s="18">
        <v>0</v>
      </c>
      <c r="J495" s="18">
        <v>0</v>
      </c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80000</v>
      </c>
      <c r="G496" s="18">
        <v>220000</v>
      </c>
      <c r="H496" s="18">
        <v>0</v>
      </c>
      <c r="I496" s="18">
        <v>545000</v>
      </c>
      <c r="J496" s="18">
        <v>94355</v>
      </c>
      <c r="K496" s="53">
        <f t="shared" si="35"/>
        <v>939355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f>F494-F496</f>
        <v>0</v>
      </c>
      <c r="G497" s="204">
        <f t="shared" ref="G497:J497" si="36">G494-G496</f>
        <v>3295000</v>
      </c>
      <c r="H497" s="204">
        <f t="shared" si="36"/>
        <v>0</v>
      </c>
      <c r="I497" s="204">
        <f t="shared" si="36"/>
        <v>3810000</v>
      </c>
      <c r="J497" s="204">
        <f t="shared" si="36"/>
        <v>161974</v>
      </c>
      <c r="K497" s="205">
        <f t="shared" si="35"/>
        <v>7266974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0</v>
      </c>
      <c r="G498" s="18">
        <v>1144844</v>
      </c>
      <c r="H498" s="18">
        <v>0</v>
      </c>
      <c r="I498" s="18">
        <v>864265</v>
      </c>
      <c r="J498" s="18">
        <v>5816</v>
      </c>
      <c r="K498" s="53">
        <f t="shared" si="35"/>
        <v>2014925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4439844</v>
      </c>
      <c r="H499" s="42">
        <f>SUM(H497:H498)</f>
        <v>0</v>
      </c>
      <c r="I499" s="42">
        <f>SUM(I497:I498)</f>
        <v>4674265</v>
      </c>
      <c r="J499" s="42">
        <f>SUM(J497:J498)</f>
        <v>167790</v>
      </c>
      <c r="K499" s="42">
        <f t="shared" si="35"/>
        <v>9281899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0</v>
      </c>
      <c r="G500" s="204">
        <f>220000</f>
        <v>220000</v>
      </c>
      <c r="H500" s="204">
        <v>0</v>
      </c>
      <c r="I500" s="204">
        <v>545000</v>
      </c>
      <c r="J500" s="204">
        <f>96770</f>
        <v>96770</v>
      </c>
      <c r="K500" s="205">
        <f t="shared" si="35"/>
        <v>861770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0</v>
      </c>
      <c r="G501" s="18">
        <f>149106</f>
        <v>149106</v>
      </c>
      <c r="H501" s="18">
        <f>43194</f>
        <v>43194</v>
      </c>
      <c r="I501" s="18">
        <f>214851</f>
        <v>214851</v>
      </c>
      <c r="J501" s="18">
        <f>4147</f>
        <v>4147</v>
      </c>
      <c r="K501" s="53">
        <f t="shared" si="35"/>
        <v>411298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369106</v>
      </c>
      <c r="H502" s="42">
        <f>SUM(H500:H501)</f>
        <v>43194</v>
      </c>
      <c r="I502" s="42">
        <f>SUM(I500:I501)</f>
        <v>759851</v>
      </c>
      <c r="J502" s="42">
        <f>SUM(J500:J501)</f>
        <v>100917</v>
      </c>
      <c r="K502" s="42">
        <f t="shared" si="35"/>
        <v>1273068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>
        <v>1069846.04</v>
      </c>
      <c r="G506" s="144"/>
      <c r="H506" s="144">
        <v>118101.5</v>
      </c>
      <c r="I506" s="144">
        <f>F506+G506-H506</f>
        <v>951744.54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1447674.16+204722.16-275210.47</f>
        <v>1377185.8499999999</v>
      </c>
      <c r="G520" s="18">
        <f>587100.59+21599.81-40587.73</f>
        <v>568112.67000000004</v>
      </c>
      <c r="H520" s="18">
        <f>68150.24+69700.85-86383.22</f>
        <v>51467.870000000024</v>
      </c>
      <c r="I520" s="18">
        <f>6267.07+26495.06-22854.58</f>
        <v>9907.5499999999993</v>
      </c>
      <c r="J520" s="18">
        <f>2056</f>
        <v>2056</v>
      </c>
      <c r="K520" s="18"/>
      <c r="L520" s="88">
        <f>SUM(F520:K520)</f>
        <v>2008729.9400000002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>890117.68+11027.28</f>
        <v>901144.96000000008</v>
      </c>
      <c r="G521" s="18">
        <f>358811.98+4998.86</f>
        <v>363810.83999999997</v>
      </c>
      <c r="H521" s="18">
        <f>37497.31</f>
        <v>37497.31</v>
      </c>
      <c r="I521" s="18">
        <f>6155.23+11.92</f>
        <v>6167.15</v>
      </c>
      <c r="J521" s="18">
        <f>427.88</f>
        <v>427.88</v>
      </c>
      <c r="K521" s="18"/>
      <c r="L521" s="88">
        <f>SUM(F521:K521)</f>
        <v>1309048.1399999999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969507.23+126813.72</f>
        <v>1096320.95</v>
      </c>
      <c r="G522" s="18">
        <f>399621.29+57486.94</f>
        <v>457108.23</v>
      </c>
      <c r="H522" s="18">
        <f>193400.78</f>
        <v>193400.78</v>
      </c>
      <c r="I522" s="18">
        <f>9990.95+137.04</f>
        <v>10127.990000000002</v>
      </c>
      <c r="J522" s="18">
        <f>4920.62</f>
        <v>4920.62</v>
      </c>
      <c r="K522" s="18"/>
      <c r="L522" s="88">
        <f>SUM(F522:K522)</f>
        <v>1761878.57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3374651.76</v>
      </c>
      <c r="G523" s="108">
        <f t="shared" ref="G523:L523" si="37">SUM(G520:G522)</f>
        <v>1389031.74</v>
      </c>
      <c r="H523" s="108">
        <f t="shared" si="37"/>
        <v>282365.96000000002</v>
      </c>
      <c r="I523" s="108">
        <f t="shared" si="37"/>
        <v>26202.690000000002</v>
      </c>
      <c r="J523" s="108">
        <f t="shared" si="37"/>
        <v>7404.5</v>
      </c>
      <c r="K523" s="108">
        <f t="shared" si="37"/>
        <v>0</v>
      </c>
      <c r="L523" s="89">
        <f t="shared" si="37"/>
        <v>5079656.6500000004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58113.88+16232.08+247734.26+51053.08+20637.14+130883.57+1905.07</f>
        <v>526559.07999999996</v>
      </c>
      <c r="G525" s="18">
        <f>22985.69+15649.54+190190.99</f>
        <v>228826.21999999997</v>
      </c>
      <c r="H525" s="18">
        <f>1063.63+108.83+196.46+725.4</f>
        <v>2094.3200000000002</v>
      </c>
      <c r="I525" s="18">
        <f>663.75+482.65+143.49+901.77</f>
        <v>2191.66</v>
      </c>
      <c r="J525" s="18"/>
      <c r="K525" s="18"/>
      <c r="L525" s="88">
        <f>SUM(F525:K525)</f>
        <v>759671.27999999991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f>87170.83+6878+104972.15+21632.66+2814.15+18052.91</f>
        <v>241520.69999999998</v>
      </c>
      <c r="G526" s="18">
        <f>34478.53+6631.16+62325.06</f>
        <v>103434.75</v>
      </c>
      <c r="H526" s="18">
        <f>1595.44+46.12+27.1+222.3</f>
        <v>1890.9599999999998</v>
      </c>
      <c r="I526" s="18">
        <f>995.63+723.98+60.8+124.38</f>
        <v>1904.79</v>
      </c>
      <c r="J526" s="18"/>
      <c r="K526" s="18"/>
      <c r="L526" s="88">
        <f>SUM(F526:K526)</f>
        <v>348751.19999999995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f>145284.72+4401.92+67182.17+13844.91+1504.41</f>
        <v>232218.13</v>
      </c>
      <c r="G527" s="18">
        <f>57464.22+4243.95+38427.52</f>
        <v>100135.69</v>
      </c>
      <c r="H527" s="18">
        <f>2659.06+29.52+2.26+222.3</f>
        <v>2913.1400000000003</v>
      </c>
      <c r="I527" s="18">
        <f>1659.39+1206.62+38.92+10.37</f>
        <v>2915.3</v>
      </c>
      <c r="J527" s="18"/>
      <c r="K527" s="18"/>
      <c r="L527" s="88">
        <f>SUM(F527:K527)</f>
        <v>338182.26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1000297.9099999999</v>
      </c>
      <c r="G528" s="89">
        <f t="shared" ref="G528:L528" si="38">SUM(G525:G527)</f>
        <v>432396.66</v>
      </c>
      <c r="H528" s="89">
        <f t="shared" si="38"/>
        <v>6898.42</v>
      </c>
      <c r="I528" s="89">
        <f t="shared" si="38"/>
        <v>7011.75</v>
      </c>
      <c r="J528" s="89">
        <f t="shared" si="38"/>
        <v>0</v>
      </c>
      <c r="K528" s="89">
        <f t="shared" si="38"/>
        <v>0</v>
      </c>
      <c r="L528" s="89">
        <f t="shared" si="38"/>
        <v>1446604.74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f>77404.56+36010.86</f>
        <v>113415.42</v>
      </c>
      <c r="G530" s="18">
        <f>48928.92</f>
        <v>48928.92</v>
      </c>
      <c r="H530" s="18">
        <f>1714.01</f>
        <v>1714.01</v>
      </c>
      <c r="I530" s="18">
        <f>795.94</f>
        <v>795.94</v>
      </c>
      <c r="J530" s="18">
        <f>752.94</f>
        <v>752.94</v>
      </c>
      <c r="K530" s="18">
        <f>463.22</f>
        <v>463.22</v>
      </c>
      <c r="L530" s="88">
        <f>SUM(F530:K530)</f>
        <v>166070.45000000001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f>50658.36+23567.75</f>
        <v>74226.11</v>
      </c>
      <c r="G531" s="18">
        <f>33948.85</f>
        <v>33948.85</v>
      </c>
      <c r="H531" s="18">
        <f>1121.76</f>
        <v>1121.76</v>
      </c>
      <c r="I531" s="18">
        <f>520.91</f>
        <v>520.91</v>
      </c>
      <c r="J531" s="18">
        <f>492.77</f>
        <v>492.77</v>
      </c>
      <c r="K531" s="18">
        <f>303.16</f>
        <v>303.16000000000003</v>
      </c>
      <c r="L531" s="88">
        <f>SUM(F531:K531)</f>
        <v>110613.56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f>49064.23+22826.1</f>
        <v>71890.33</v>
      </c>
      <c r="G532" s="18">
        <f>32890.69</f>
        <v>32890.69</v>
      </c>
      <c r="H532" s="18">
        <f>1086.46</f>
        <v>1086.46</v>
      </c>
      <c r="I532" s="18">
        <f>504.52</f>
        <v>504.52</v>
      </c>
      <c r="J532" s="18">
        <f>477.27</f>
        <v>477.27</v>
      </c>
      <c r="K532" s="18">
        <f>293.62</f>
        <v>293.62</v>
      </c>
      <c r="L532" s="88">
        <f>SUM(F532:K532)</f>
        <v>107142.89000000001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259531.86</v>
      </c>
      <c r="G533" s="89">
        <f t="shared" ref="G533:L533" si="39">SUM(G530:G532)</f>
        <v>115768.45999999999</v>
      </c>
      <c r="H533" s="89">
        <f t="shared" si="39"/>
        <v>3922.23</v>
      </c>
      <c r="I533" s="89">
        <f t="shared" si="39"/>
        <v>1821.37</v>
      </c>
      <c r="J533" s="89">
        <f t="shared" si="39"/>
        <v>1722.98</v>
      </c>
      <c r="K533" s="89">
        <f t="shared" si="39"/>
        <v>1060</v>
      </c>
      <c r="L533" s="89">
        <f t="shared" si="39"/>
        <v>383826.9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f>3306.78*0.402</f>
        <v>1329.3255600000002</v>
      </c>
      <c r="I535" s="18"/>
      <c r="J535" s="18"/>
      <c r="K535" s="18"/>
      <c r="L535" s="88">
        <f>SUM(F535:K535)</f>
        <v>1329.3255600000002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f>3306.78*0.251</f>
        <v>830.00178000000005</v>
      </c>
      <c r="I536" s="18"/>
      <c r="J536" s="18"/>
      <c r="K536" s="18"/>
      <c r="L536" s="88">
        <f>SUM(F536:K536)</f>
        <v>830.00178000000005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f>3306.78*0.347</f>
        <v>1147.4526599999999</v>
      </c>
      <c r="I537" s="18"/>
      <c r="J537" s="18"/>
      <c r="K537" s="18"/>
      <c r="L537" s="88">
        <f>SUM(F537:K537)</f>
        <v>1147.4526599999999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40">SUM(G535:G537)</f>
        <v>0</v>
      </c>
      <c r="H538" s="89">
        <f t="shared" si="40"/>
        <v>3306.78</v>
      </c>
      <c r="I538" s="89">
        <f t="shared" si="40"/>
        <v>0</v>
      </c>
      <c r="J538" s="89">
        <f t="shared" si="40"/>
        <v>0</v>
      </c>
      <c r="K538" s="89">
        <f t="shared" si="40"/>
        <v>0</v>
      </c>
      <c r="L538" s="89">
        <f t="shared" si="40"/>
        <v>3306.78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f>123513.71</f>
        <v>123513.71</v>
      </c>
      <c r="I540" s="18"/>
      <c r="J540" s="18"/>
      <c r="K540" s="18"/>
      <c r="L540" s="88">
        <f>SUM(F540:K540)</f>
        <v>123513.71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f>49714.39</f>
        <v>49714.39</v>
      </c>
      <c r="I541" s="18"/>
      <c r="J541" s="18"/>
      <c r="K541" s="18"/>
      <c r="L541" s="88">
        <f>SUM(F541:K541)</f>
        <v>49714.39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f>88046.01</f>
        <v>88046.01</v>
      </c>
      <c r="I542" s="18"/>
      <c r="J542" s="18"/>
      <c r="K542" s="18"/>
      <c r="L542" s="88">
        <f>SUM(F542:K542)</f>
        <v>88046.01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1">SUM(G540:G542)</f>
        <v>0</v>
      </c>
      <c r="H543" s="193">
        <f t="shared" si="41"/>
        <v>261274.11</v>
      </c>
      <c r="I543" s="193">
        <f t="shared" si="41"/>
        <v>0</v>
      </c>
      <c r="J543" s="193">
        <f t="shared" si="41"/>
        <v>0</v>
      </c>
      <c r="K543" s="193">
        <f t="shared" si="41"/>
        <v>0</v>
      </c>
      <c r="L543" s="193">
        <f t="shared" si="41"/>
        <v>261274.11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4634481.53</v>
      </c>
      <c r="G544" s="89">
        <f t="shared" ref="G544:L544" si="42">G523+G528+G533+G538+G543</f>
        <v>1937196.8599999999</v>
      </c>
      <c r="H544" s="89">
        <f t="shared" si="42"/>
        <v>557767.5</v>
      </c>
      <c r="I544" s="89">
        <f t="shared" si="42"/>
        <v>35035.810000000005</v>
      </c>
      <c r="J544" s="89">
        <f t="shared" si="42"/>
        <v>9127.48</v>
      </c>
      <c r="K544" s="89">
        <f t="shared" si="42"/>
        <v>1060</v>
      </c>
      <c r="L544" s="89">
        <f t="shared" si="42"/>
        <v>7174669.1800000016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2008729.9400000002</v>
      </c>
      <c r="G548" s="87">
        <f>L525</f>
        <v>759671.27999999991</v>
      </c>
      <c r="H548" s="87">
        <f>L530</f>
        <v>166070.45000000001</v>
      </c>
      <c r="I548" s="87">
        <f>L535</f>
        <v>1329.3255600000002</v>
      </c>
      <c r="J548" s="87">
        <f>L540</f>
        <v>123513.71</v>
      </c>
      <c r="K548" s="87">
        <f>SUM(F548:J548)</f>
        <v>3059314.7055600001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1309048.1399999999</v>
      </c>
      <c r="G549" s="87">
        <f>L526</f>
        <v>348751.19999999995</v>
      </c>
      <c r="H549" s="87">
        <f>L531</f>
        <v>110613.56</v>
      </c>
      <c r="I549" s="87">
        <f>L536</f>
        <v>830.00178000000005</v>
      </c>
      <c r="J549" s="87">
        <f>L541</f>
        <v>49714.39</v>
      </c>
      <c r="K549" s="87">
        <f>SUM(F549:J549)</f>
        <v>1818957.2917799999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1761878.57</v>
      </c>
      <c r="G550" s="87">
        <f>L527</f>
        <v>338182.26</v>
      </c>
      <c r="H550" s="87">
        <f>L532</f>
        <v>107142.89000000001</v>
      </c>
      <c r="I550" s="87">
        <f>L537</f>
        <v>1147.4526599999999</v>
      </c>
      <c r="J550" s="87">
        <f>L542</f>
        <v>88046.01</v>
      </c>
      <c r="K550" s="87">
        <f>SUM(F550:J550)</f>
        <v>2296397.1826599999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3">SUM(F548:F550)</f>
        <v>5079656.6500000004</v>
      </c>
      <c r="G551" s="89">
        <f t="shared" si="43"/>
        <v>1446604.74</v>
      </c>
      <c r="H551" s="89">
        <f t="shared" si="43"/>
        <v>383826.9</v>
      </c>
      <c r="I551" s="89">
        <f t="shared" si="43"/>
        <v>3306.78</v>
      </c>
      <c r="J551" s="89">
        <f t="shared" si="43"/>
        <v>261274.11</v>
      </c>
      <c r="K551" s="89">
        <f t="shared" si="43"/>
        <v>7174669.1799999997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>
        <f>2651.5+235446.27+37112.7</f>
        <v>275210.46999999997</v>
      </c>
      <c r="G556" s="18">
        <f>393.95+34666.37+5527.41</f>
        <v>40587.729999999996</v>
      </c>
      <c r="H556" s="18">
        <f>14930.38+9063.54+57228.97+5160.33</f>
        <v>86383.22</v>
      </c>
      <c r="I556" s="18">
        <f>1617.95+8296.53+12940.1</f>
        <v>22854.58</v>
      </c>
      <c r="J556" s="18"/>
      <c r="K556" s="18"/>
      <c r="L556" s="88">
        <f>SUM(F556:K556)</f>
        <v>425035.99999999994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4">SUM(F556:F558)</f>
        <v>275210.46999999997</v>
      </c>
      <c r="G559" s="108">
        <f t="shared" si="44"/>
        <v>40587.729999999996</v>
      </c>
      <c r="H559" s="108">
        <f t="shared" si="44"/>
        <v>86383.22</v>
      </c>
      <c r="I559" s="108">
        <f t="shared" si="44"/>
        <v>22854.58</v>
      </c>
      <c r="J559" s="108">
        <f t="shared" si="44"/>
        <v>0</v>
      </c>
      <c r="K559" s="108">
        <f t="shared" si="44"/>
        <v>0</v>
      </c>
      <c r="L559" s="89">
        <f t="shared" si="44"/>
        <v>425035.99999999994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f>23837.39+7200.37+(1040+668.8)*0.402</f>
        <v>31724.6976</v>
      </c>
      <c r="G561" s="18">
        <f>(132.13+117.52+30650.95+1368.78)*0.402</f>
        <v>12972.290760000002</v>
      </c>
      <c r="H561" s="18"/>
      <c r="I561" s="18">
        <f>(174.04+111.92+300)*0.402+231.2</f>
        <v>466.75592</v>
      </c>
      <c r="J561" s="18">
        <f>(600+1456)*0.402</f>
        <v>826.51200000000006</v>
      </c>
      <c r="K561" s="18"/>
      <c r="L561" s="88">
        <f>SUM(F561:K561)</f>
        <v>45990.256280000009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f>14883.55+4495.75+(1040+668.8)*0.251</f>
        <v>19808.2088</v>
      </c>
      <c r="G562" s="18">
        <f>(132.13+117.52+30650.95+1368.78)*0.251</f>
        <v>8099.61438</v>
      </c>
      <c r="H562" s="18"/>
      <c r="I562" s="18">
        <f>(174.04+111.92+300)*0.251</f>
        <v>147.07596000000001</v>
      </c>
      <c r="J562" s="18">
        <f>(600+1456)*0.251</f>
        <v>516.05600000000004</v>
      </c>
      <c r="K562" s="18"/>
      <c r="L562" s="88">
        <f>SUM(F562:K562)</f>
        <v>28570.955139999998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f>20576.06+6215.25+(1040+668.8)*0.347</f>
        <v>27384.263600000002</v>
      </c>
      <c r="G563" s="18">
        <f>(132.13+117.52+30650.95+1368.78)*0.347</f>
        <v>11197.47486</v>
      </c>
      <c r="H563" s="18"/>
      <c r="I563" s="18">
        <f>(174.04+111.92+300)*0.347</f>
        <v>203.32811999999998</v>
      </c>
      <c r="J563" s="18">
        <f>(600+1456)*0.347</f>
        <v>713.4319999999999</v>
      </c>
      <c r="K563" s="18"/>
      <c r="L563" s="88">
        <f>SUM(F563:K563)</f>
        <v>39498.498579999999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5">SUM(F561:F563)</f>
        <v>78917.17</v>
      </c>
      <c r="G564" s="89">
        <f t="shared" si="45"/>
        <v>32269.380000000005</v>
      </c>
      <c r="H564" s="89">
        <f t="shared" si="45"/>
        <v>0</v>
      </c>
      <c r="I564" s="89">
        <f t="shared" si="45"/>
        <v>817.16</v>
      </c>
      <c r="J564" s="89">
        <f t="shared" si="45"/>
        <v>2056</v>
      </c>
      <c r="K564" s="89">
        <f t="shared" si="45"/>
        <v>0</v>
      </c>
      <c r="L564" s="89">
        <f t="shared" si="45"/>
        <v>114059.71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f>70526</f>
        <v>70526</v>
      </c>
      <c r="G566" s="18">
        <f>21161.24</f>
        <v>21161.24</v>
      </c>
      <c r="H566" s="18"/>
      <c r="I566" s="18">
        <f>529.39</f>
        <v>529.39</v>
      </c>
      <c r="J566" s="18"/>
      <c r="K566" s="18">
        <f>122.5</f>
        <v>122.5</v>
      </c>
      <c r="L566" s="88">
        <f>SUM(F566:K566)</f>
        <v>92339.13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>
        <f>1800</f>
        <v>1800</v>
      </c>
      <c r="G567" s="18">
        <f>341.1</f>
        <v>341.1</v>
      </c>
      <c r="H567" s="18"/>
      <c r="I567" s="18">
        <f>6000</f>
        <v>6000</v>
      </c>
      <c r="J567" s="18"/>
      <c r="K567" s="18">
        <f>840</f>
        <v>840</v>
      </c>
      <c r="L567" s="88">
        <f>SUM(F567:K567)</f>
        <v>8981.1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72326</v>
      </c>
      <c r="G569" s="193">
        <f t="shared" ref="G569:L569" si="46">SUM(G566:G568)</f>
        <v>21502.34</v>
      </c>
      <c r="H569" s="193">
        <f t="shared" si="46"/>
        <v>0</v>
      </c>
      <c r="I569" s="193">
        <f t="shared" si="46"/>
        <v>6529.39</v>
      </c>
      <c r="J569" s="193">
        <f t="shared" si="46"/>
        <v>0</v>
      </c>
      <c r="K569" s="193">
        <f t="shared" si="46"/>
        <v>962.5</v>
      </c>
      <c r="L569" s="193">
        <f t="shared" si="46"/>
        <v>101320.23000000001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426453.63999999996</v>
      </c>
      <c r="G570" s="89">
        <f t="shared" ref="G570:L570" si="47">G559+G564+G569</f>
        <v>94359.45</v>
      </c>
      <c r="H570" s="89">
        <f t="shared" si="47"/>
        <v>86383.22</v>
      </c>
      <c r="I570" s="89">
        <f t="shared" si="47"/>
        <v>30201.13</v>
      </c>
      <c r="J570" s="89">
        <f t="shared" si="47"/>
        <v>2056</v>
      </c>
      <c r="K570" s="89">
        <f t="shared" si="47"/>
        <v>962.5</v>
      </c>
      <c r="L570" s="89">
        <f t="shared" si="47"/>
        <v>640415.93999999994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8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8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8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8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8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8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f>29209.39-2137.2</f>
        <v>27072.19</v>
      </c>
      <c r="G581" s="18">
        <f>14495.49-3917.7</f>
        <v>10577.79</v>
      </c>
      <c r="H581" s="18">
        <f>176395.06-18152.1+6395.35</f>
        <v>164638.31</v>
      </c>
      <c r="I581" s="87">
        <f t="shared" si="48"/>
        <v>202288.28999999998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8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f>9857.42+-5231.88</f>
        <v>4625.54</v>
      </c>
      <c r="I583" s="87">
        <f t="shared" si="48"/>
        <v>4625.54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8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8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8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346429.2+11104.8</f>
        <v>357534</v>
      </c>
      <c r="I590" s="18">
        <f>204145.78+6543.9</f>
        <v>210689.68</v>
      </c>
      <c r="J590" s="18">
        <f>68048.6+2181.3</f>
        <v>70229.900000000009</v>
      </c>
      <c r="K590" s="104">
        <f t="shared" ref="K590:K596" si="49">SUM(H590:J590)</f>
        <v>638453.57999999996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120801.71+2712</f>
        <v>123513.71</v>
      </c>
      <c r="I591" s="18">
        <f>49202.12+512.27</f>
        <v>49714.39</v>
      </c>
      <c r="J591" s="18">
        <f>87173.74+872.27</f>
        <v>88046.010000000009</v>
      </c>
      <c r="K591" s="104">
        <f t="shared" si="49"/>
        <v>261274.11000000002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f>8121.5-4340+60</f>
        <v>3841.5</v>
      </c>
      <c r="K592" s="104">
        <f t="shared" si="49"/>
        <v>3841.5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f>16578.1-1284.75</f>
        <v>15293.349999999999</v>
      </c>
      <c r="J593" s="18">
        <f>65039.11-579.75+268.56</f>
        <v>64727.92</v>
      </c>
      <c r="K593" s="104">
        <f t="shared" si="49"/>
        <v>80021.26999999999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9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9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481047.71</v>
      </c>
      <c r="I597" s="108">
        <f>SUM(I590:I596)</f>
        <v>275697.42</v>
      </c>
      <c r="J597" s="108">
        <f>SUM(J590:J596)</f>
        <v>226845.33000000002</v>
      </c>
      <c r="K597" s="108">
        <f>SUM(K590:K596)</f>
        <v>983590.46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27968.04+3491.36</f>
        <v>31459.4</v>
      </c>
      <c r="I603" s="18">
        <f>40786.13+2534.44</f>
        <v>43320.57</v>
      </c>
      <c r="J603" s="18">
        <f>151117.47+13000.56</f>
        <v>164118.03</v>
      </c>
      <c r="K603" s="104">
        <f>SUM(H603:J603)</f>
        <v>238898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31459.4</v>
      </c>
      <c r="I604" s="108">
        <f>SUM(I601:I603)</f>
        <v>43320.57</v>
      </c>
      <c r="J604" s="108">
        <f>SUM(J601:J603)</f>
        <v>164118.03</v>
      </c>
      <c r="K604" s="108">
        <f>SUM(K601:K603)</f>
        <v>238898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f>9716.5+18070+6660</f>
        <v>34446.5</v>
      </c>
      <c r="G610" s="18">
        <f>1892.02+1535+42.23+9716.5*0.1895</f>
        <v>5310.52675</v>
      </c>
      <c r="H610" s="18"/>
      <c r="I610" s="18">
        <f>4277.75</f>
        <v>4277.75</v>
      </c>
      <c r="J610" s="18"/>
      <c r="K610" s="18"/>
      <c r="L610" s="88">
        <f>SUM(F610:K610)</f>
        <v>44034.776749999997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f>6850</f>
        <v>6850</v>
      </c>
      <c r="G611" s="18">
        <f>6850*0.1895</f>
        <v>1298.075</v>
      </c>
      <c r="H611" s="18"/>
      <c r="I611" s="18"/>
      <c r="J611" s="18"/>
      <c r="K611" s="18"/>
      <c r="L611" s="88">
        <f>SUM(F611:K611)</f>
        <v>8148.0749999999998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f>11392.69</f>
        <v>11392.69</v>
      </c>
      <c r="G612" s="18">
        <f>11392.69*0.1895</f>
        <v>2158.9147550000002</v>
      </c>
      <c r="H612" s="18"/>
      <c r="I612" s="18"/>
      <c r="J612" s="18"/>
      <c r="K612" s="18"/>
      <c r="L612" s="88">
        <f>SUM(F612:K612)</f>
        <v>13551.604755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50">SUM(F610:F612)</f>
        <v>52689.19</v>
      </c>
      <c r="G613" s="108">
        <f t="shared" si="50"/>
        <v>8767.5165049999996</v>
      </c>
      <c r="H613" s="108">
        <f t="shared" si="50"/>
        <v>0</v>
      </c>
      <c r="I613" s="108">
        <f t="shared" si="50"/>
        <v>4277.75</v>
      </c>
      <c r="J613" s="108">
        <f t="shared" si="50"/>
        <v>0</v>
      </c>
      <c r="K613" s="108">
        <f t="shared" si="50"/>
        <v>0</v>
      </c>
      <c r="L613" s="89">
        <f t="shared" si="50"/>
        <v>65734.456504999995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1115553.31</v>
      </c>
      <c r="H616" s="109">
        <f>SUM(F51)</f>
        <v>1115553.31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98978.69</v>
      </c>
      <c r="H617" s="109">
        <f>SUM(G51)</f>
        <v>98978.69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433136.01</v>
      </c>
      <c r="H618" s="109">
        <f>SUM(H51)</f>
        <v>433136.01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2756589.37</v>
      </c>
      <c r="H620" s="109">
        <f>SUM(J51)</f>
        <v>2756589.37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951725.48</v>
      </c>
      <c r="H621" s="109">
        <f>F475</f>
        <v>951725.48000000417</v>
      </c>
      <c r="I621" s="121" t="s">
        <v>101</v>
      </c>
      <c r="J621" s="109">
        <f t="shared" ref="J621:J654" si="51">G621-H621</f>
        <v>-4.1909515857696533E-9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98978.69</v>
      </c>
      <c r="H622" s="109">
        <f>G475</f>
        <v>98978.690000000061</v>
      </c>
      <c r="I622" s="121" t="s">
        <v>102</v>
      </c>
      <c r="J622" s="109">
        <f t="shared" si="51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79519.61</v>
      </c>
      <c r="H623" s="109">
        <f>H475</f>
        <v>79519.610000000102</v>
      </c>
      <c r="I623" s="121" t="s">
        <v>103</v>
      </c>
      <c r="J623" s="109">
        <f t="shared" si="51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1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2756589.37</v>
      </c>
      <c r="H625" s="109">
        <f>J475</f>
        <v>2756589.37</v>
      </c>
      <c r="I625" s="140" t="s">
        <v>105</v>
      </c>
      <c r="J625" s="109">
        <f t="shared" si="51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33755635.439999998</v>
      </c>
      <c r="H626" s="104">
        <f>SUM(F467)</f>
        <v>33755635.439999998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838805.32</v>
      </c>
      <c r="H627" s="104">
        <f>SUM(G467)</f>
        <v>838805.32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1500285.9400000002</v>
      </c>
      <c r="H628" s="104">
        <f>SUM(H467)</f>
        <v>1500285.94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183983.71</v>
      </c>
      <c r="H630" s="104">
        <f>SUM(J467)</f>
        <v>183983.71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33651447.800770007</v>
      </c>
      <c r="H631" s="104">
        <f>SUM(F471)</f>
        <v>33651447.799999997</v>
      </c>
      <c r="I631" s="140" t="s">
        <v>111</v>
      </c>
      <c r="J631" s="109">
        <f t="shared" si="51"/>
        <v>7.7001005411148071E-4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1490473.27</v>
      </c>
      <c r="H632" s="104">
        <f>SUM(H471)</f>
        <v>1490473.2699999998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397263.70000000007</v>
      </c>
      <c r="H633" s="104">
        <f>I368</f>
        <v>397263.69999999995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838805.32000000007</v>
      </c>
      <c r="H634" s="104">
        <f>SUM(G471)</f>
        <v>838805.32</v>
      </c>
      <c r="I634" s="140" t="s">
        <v>114</v>
      </c>
      <c r="J634" s="109">
        <f t="shared" si="51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1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183983.71</v>
      </c>
      <c r="H636" s="164">
        <f>SUM(J467)</f>
        <v>183983.71</v>
      </c>
      <c r="I636" s="165" t="s">
        <v>110</v>
      </c>
      <c r="J636" s="151">
        <f t="shared" si="51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54790.15</v>
      </c>
      <c r="H637" s="164">
        <f>SUM(J471)</f>
        <v>54790.15</v>
      </c>
      <c r="I637" s="165" t="s">
        <v>117</v>
      </c>
      <c r="J637" s="151">
        <f t="shared" si="51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1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138665.17000000001</v>
      </c>
      <c r="H639" s="104">
        <f>SUM(G460)</f>
        <v>138665.16999999998</v>
      </c>
      <c r="I639" s="140" t="s">
        <v>858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2617924.2000000002</v>
      </c>
      <c r="H640" s="104">
        <f>SUM(H460)</f>
        <v>2617924.2000000002</v>
      </c>
      <c r="I640" s="140" t="s">
        <v>859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2756589.37</v>
      </c>
      <c r="H641" s="104">
        <f>SUM(I460)</f>
        <v>2756589.37</v>
      </c>
      <c r="I641" s="140" t="s">
        <v>860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76611.7</v>
      </c>
      <c r="H643" s="104">
        <f>H407</f>
        <v>76611.7</v>
      </c>
      <c r="I643" s="140" t="s">
        <v>481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183983.71</v>
      </c>
      <c r="H645" s="104">
        <f>L407</f>
        <v>183983.71</v>
      </c>
      <c r="I645" s="140" t="s">
        <v>478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983590.46</v>
      </c>
      <c r="H646" s="104">
        <f>L207+L225+L243</f>
        <v>983590.46000000008</v>
      </c>
      <c r="I646" s="140" t="s">
        <v>397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238898</v>
      </c>
      <c r="H647" s="104">
        <f>(J256+J337)-(J254+J335)</f>
        <v>238898</v>
      </c>
      <c r="I647" s="140" t="s">
        <v>703</v>
      </c>
      <c r="J647" s="109">
        <f t="shared" si="51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481047.71</v>
      </c>
      <c r="H648" s="104">
        <f>H597</f>
        <v>481047.71</v>
      </c>
      <c r="I648" s="140" t="s">
        <v>389</v>
      </c>
      <c r="J648" s="109">
        <f t="shared" si="51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275697.42000000004</v>
      </c>
      <c r="H649" s="104">
        <f>I597</f>
        <v>275697.42</v>
      </c>
      <c r="I649" s="140" t="s">
        <v>390</v>
      </c>
      <c r="J649" s="109">
        <f t="shared" si="51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226845.33</v>
      </c>
      <c r="H650" s="104">
        <f>J597</f>
        <v>226845.33000000002</v>
      </c>
      <c r="I650" s="140" t="s">
        <v>391</v>
      </c>
      <c r="J650" s="109">
        <f t="shared" si="51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67876.87</v>
      </c>
      <c r="H651" s="104">
        <f>K262+K344</f>
        <v>67876.87</v>
      </c>
      <c r="I651" s="140" t="s">
        <v>398</v>
      </c>
      <c r="J651" s="109">
        <f t="shared" si="51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7.7001750469207764E-4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13239948.215399999</v>
      </c>
      <c r="G659" s="19">
        <f>(L228+L308+L358)</f>
        <v>8499647.5882950015</v>
      </c>
      <c r="H659" s="19">
        <f>(L246+L327+L359)</f>
        <v>12716574.017075002</v>
      </c>
      <c r="I659" s="19">
        <f>SUM(F659:H659)</f>
        <v>34456169.820770003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170446.554662312</v>
      </c>
      <c r="G660" s="19">
        <f>(L358/IF(SUM(L357:L359)=0,1,SUM(L357:L359))*(SUM(G96:G109)))</f>
        <v>123381.40919039222</v>
      </c>
      <c r="H660" s="19">
        <f>(L359/IF(SUM(L357:L359)=0,1,SUM(L357:L359))*(SUM(G96:G109)))</f>
        <v>160203.86614729575</v>
      </c>
      <c r="I660" s="19">
        <f>SUM(F660:H660)</f>
        <v>454031.82999999996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486132.71</v>
      </c>
      <c r="G661" s="19">
        <f>(L225+L305)-(J225+J305)</f>
        <v>275697.42000000004</v>
      </c>
      <c r="H661" s="19">
        <f>(L243+L324)-(J243+J324)</f>
        <v>234322.49</v>
      </c>
      <c r="I661" s="19">
        <f>SUM(F661:H661)</f>
        <v>996152.62000000011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102566.36674999999</v>
      </c>
      <c r="G662" s="199">
        <f>SUM(G574:G586)+SUM(I601:I603)+L611</f>
        <v>62046.434999999998</v>
      </c>
      <c r="H662" s="199">
        <f>SUM(H574:H586)+SUM(J601:J603)+L612</f>
        <v>346933.48475499998</v>
      </c>
      <c r="I662" s="19">
        <f>SUM(F662:H662)</f>
        <v>511546.28650499997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12480802.583987687</v>
      </c>
      <c r="G663" s="19">
        <f>G659-SUM(G660:G662)</f>
        <v>8038522.324104609</v>
      </c>
      <c r="H663" s="19">
        <f>H659-SUM(H660:H662)</f>
        <v>11975114.176172707</v>
      </c>
      <c r="I663" s="19">
        <f>I659-SUM(I660:I662)</f>
        <v>32494439.084265001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f>1030.93</f>
        <v>1030.93</v>
      </c>
      <c r="G664" s="248">
        <f>644.66</f>
        <v>644.66</v>
      </c>
      <c r="H664" s="248">
        <f>889.79</f>
        <v>889.79</v>
      </c>
      <c r="I664" s="19">
        <f>SUM(F664:H664)</f>
        <v>2565.38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12106.35</v>
      </c>
      <c r="G666" s="19">
        <f>ROUND(G663/G664,2)</f>
        <v>12469.4</v>
      </c>
      <c r="H666" s="19">
        <f>ROUND(H663/H664,2)</f>
        <v>13458.36</v>
      </c>
      <c r="I666" s="19">
        <f>ROUND(I663/I664,2)</f>
        <v>12666.52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4.67</v>
      </c>
      <c r="I669" s="19">
        <f>SUM(F669:H669)</f>
        <v>4.67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12106.35</v>
      </c>
      <c r="G671" s="19">
        <f>ROUND((G663+G668)/(G664+G669),2)</f>
        <v>12469.4</v>
      </c>
      <c r="H671" s="19">
        <f>ROUND((H663+H668)/(H664+H669),2)</f>
        <v>13388.09</v>
      </c>
      <c r="I671" s="19">
        <f>ROUND((I663+I668)/(I664+I669),2)</f>
        <v>12643.5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5" workbookViewId="0">
      <selection activeCell="C39" sqref="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 xml:space="preserve">MILFORD SCHOOL DISTRICT </v>
      </c>
      <c r="C1" s="238" t="s">
        <v>839</v>
      </c>
    </row>
    <row r="2" spans="1:3" x14ac:dyDescent="0.2">
      <c r="A2" s="233"/>
      <c r="B2" s="232"/>
    </row>
    <row r="3" spans="1:3" x14ac:dyDescent="0.2">
      <c r="A3" s="279" t="s">
        <v>784</v>
      </c>
      <c r="B3" s="279"/>
      <c r="C3" s="279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8" t="s">
        <v>783</v>
      </c>
      <c r="C6" s="278"/>
    </row>
    <row r="7" spans="1:3" x14ac:dyDescent="0.2">
      <c r="A7" s="239" t="s">
        <v>786</v>
      </c>
      <c r="B7" s="276" t="s">
        <v>782</v>
      </c>
      <c r="C7" s="277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9853743.9199999999</v>
      </c>
      <c r="C9" s="229">
        <f>'DOE25'!G196+'DOE25'!G214+'DOE25'!G232+'DOE25'!G275+'DOE25'!G294+'DOE25'!G313</f>
        <v>4396095.40338</v>
      </c>
    </row>
    <row r="10" spans="1:3" x14ac:dyDescent="0.2">
      <c r="A10" t="s">
        <v>779</v>
      </c>
      <c r="B10" s="240">
        <f>9381470.38</f>
        <v>9381470.3800000008</v>
      </c>
      <c r="C10" s="240">
        <f>C9-C11-C12</f>
        <v>4326007.7539590001</v>
      </c>
    </row>
    <row r="11" spans="1:3" x14ac:dyDescent="0.2">
      <c r="A11" t="s">
        <v>780</v>
      </c>
      <c r="B11" s="240">
        <f>276846.41</f>
        <v>276846.40999999997</v>
      </c>
      <c r="C11" s="240">
        <f>20491.17+7588.77+1144.71+B11*(0.0765+0.0171)</f>
        <v>55137.473975999994</v>
      </c>
    </row>
    <row r="12" spans="1:3" x14ac:dyDescent="0.2">
      <c r="A12" t="s">
        <v>781</v>
      </c>
      <c r="B12" s="240">
        <f>195427.13</f>
        <v>195427.13</v>
      </c>
      <c r="C12" s="240">
        <f>B12*0.0765</f>
        <v>14950.175445000001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9853743.9200000018</v>
      </c>
      <c r="C13" s="231">
        <f>SUM(C10:C12)</f>
        <v>4396095.40338</v>
      </c>
    </row>
    <row r="14" spans="1:3" x14ac:dyDescent="0.2">
      <c r="B14" s="230"/>
      <c r="C14" s="230"/>
    </row>
    <row r="15" spans="1:3" x14ac:dyDescent="0.2">
      <c r="B15" s="278" t="s">
        <v>783</v>
      </c>
      <c r="C15" s="278"/>
    </row>
    <row r="16" spans="1:3" x14ac:dyDescent="0.2">
      <c r="A16" s="239" t="s">
        <v>787</v>
      </c>
      <c r="B16" s="276" t="s">
        <v>707</v>
      </c>
      <c r="C16" s="277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3649862.2300000004</v>
      </c>
      <c r="C18" s="229">
        <f>'DOE25'!G197+'DOE25'!G215+'DOE25'!G233+'DOE25'!G276+'DOE25'!G295+'DOE25'!G314</f>
        <v>1429619.4725850001</v>
      </c>
    </row>
    <row r="19" spans="1:3" x14ac:dyDescent="0.2">
      <c r="A19" t="s">
        <v>779</v>
      </c>
      <c r="B19" s="240">
        <f>1876926.68</f>
        <v>1876926.68</v>
      </c>
      <c r="C19" s="240">
        <f>C18-C20-C21</f>
        <v>378028.40870500001</v>
      </c>
    </row>
    <row r="20" spans="1:3" x14ac:dyDescent="0.2">
      <c r="A20" t="s">
        <v>780</v>
      </c>
      <c r="B20" s="240">
        <f>1683209.55</f>
        <v>1683209.55</v>
      </c>
      <c r="C20" s="240">
        <f>45216.51+433046.34+162970.48+198232.58+5034.8+270+B20*(0.0765+0.0171)</f>
        <v>1002319.1238800001</v>
      </c>
    </row>
    <row r="21" spans="1:3" x14ac:dyDescent="0.2">
      <c r="A21" t="s">
        <v>781</v>
      </c>
      <c r="B21" s="240">
        <f>88166+1560</f>
        <v>89726</v>
      </c>
      <c r="C21" s="240">
        <f>4731.08+7979.6+21618.77+14127.61+695.54+(1560*0.0765)</f>
        <v>49271.939999999995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3649862.23</v>
      </c>
      <c r="C22" s="231">
        <f>SUM(C19:C21)</f>
        <v>1429619.4725850001</v>
      </c>
    </row>
    <row r="23" spans="1:3" x14ac:dyDescent="0.2">
      <c r="B23" s="230"/>
      <c r="C23" s="230"/>
    </row>
    <row r="24" spans="1:3" x14ac:dyDescent="0.2">
      <c r="B24" s="278" t="s">
        <v>783</v>
      </c>
      <c r="C24" s="278"/>
    </row>
    <row r="25" spans="1:3" x14ac:dyDescent="0.2">
      <c r="A25" s="239" t="s">
        <v>788</v>
      </c>
      <c r="B25" s="276" t="s">
        <v>708</v>
      </c>
      <c r="C25" s="277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767126</v>
      </c>
      <c r="C27" s="234">
        <f>'DOE25'!G198+'DOE25'!G216+'DOE25'!G234+'DOE25'!G277+'DOE25'!G296+'DOE25'!G315</f>
        <v>361600.54373000003</v>
      </c>
    </row>
    <row r="28" spans="1:3" x14ac:dyDescent="0.2">
      <c r="A28" t="s">
        <v>779</v>
      </c>
      <c r="B28" s="240">
        <f>767126</f>
        <v>767126</v>
      </c>
      <c r="C28" s="240">
        <f>C27</f>
        <v>361600.54373000003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767126</v>
      </c>
      <c r="C31" s="231">
        <f>SUM(C28:C30)</f>
        <v>361600.54373000003</v>
      </c>
    </row>
    <row r="33" spans="1:3" x14ac:dyDescent="0.2">
      <c r="B33" s="278" t="s">
        <v>783</v>
      </c>
      <c r="C33" s="278"/>
    </row>
    <row r="34" spans="1:3" x14ac:dyDescent="0.2">
      <c r="A34" s="239" t="s">
        <v>789</v>
      </c>
      <c r="B34" s="276" t="s">
        <v>709</v>
      </c>
      <c r="C34" s="277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219527.41</v>
      </c>
      <c r="C36" s="235">
        <f>'DOE25'!G199+'DOE25'!G217+'DOE25'!G235+'DOE25'!G278+'DOE25'!G297+'DOE25'!G316</f>
        <v>24338.25</v>
      </c>
    </row>
    <row r="37" spans="1:3" x14ac:dyDescent="0.2">
      <c r="A37" t="s">
        <v>779</v>
      </c>
      <c r="B37" s="240">
        <f>46029.19+500</f>
        <v>46529.19</v>
      </c>
      <c r="C37" s="240">
        <f>C36-C38-C39</f>
        <v>10517.80617</v>
      </c>
    </row>
    <row r="38" spans="1:3" x14ac:dyDescent="0.2">
      <c r="A38" t="s">
        <v>780</v>
      </c>
      <c r="B38" s="240">
        <f>6660</f>
        <v>6660</v>
      </c>
      <c r="C38" s="240">
        <f>B38*(0.0765+0.088)</f>
        <v>1095.57</v>
      </c>
    </row>
    <row r="39" spans="1:3" x14ac:dyDescent="0.2">
      <c r="A39" t="s">
        <v>781</v>
      </c>
      <c r="B39" s="240">
        <f>127700.22+37540+1098</f>
        <v>166338.22</v>
      </c>
      <c r="C39" s="240">
        <f>B39*0.0765</f>
        <v>12724.87383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219527.41</v>
      </c>
      <c r="C40" s="231">
        <f>SUM(C37:C39)</f>
        <v>24338.25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9" activePane="bottomLeft" state="frozen"/>
      <selection pane="bottomLeft" activeCell="D5" sqref="D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790</v>
      </c>
      <c r="B1" s="283"/>
      <c r="C1" s="283"/>
      <c r="D1" s="283"/>
      <c r="E1" s="283"/>
      <c r="F1" s="283"/>
      <c r="G1" s="283"/>
      <c r="H1" s="283"/>
      <c r="I1" s="181"/>
    </row>
    <row r="2" spans="1:9" x14ac:dyDescent="0.2">
      <c r="A2" s="33" t="s">
        <v>717</v>
      </c>
      <c r="B2" s="265" t="str">
        <f>'DOE25'!A2</f>
        <v xml:space="preserve">MILFORD SCHOOL DISTRICT </v>
      </c>
      <c r="C2" s="181"/>
      <c r="D2" s="181" t="s">
        <v>792</v>
      </c>
      <c r="E2" s="181" t="s">
        <v>794</v>
      </c>
      <c r="F2" s="280" t="s">
        <v>821</v>
      </c>
      <c r="G2" s="281"/>
      <c r="H2" s="282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21022832.819695</v>
      </c>
      <c r="D5" s="20">
        <f>SUM('DOE25'!L196:L199)+SUM('DOE25'!L214:L217)+SUM('DOE25'!L232:L235)-F5-G5</f>
        <v>20853204.899694998</v>
      </c>
      <c r="E5" s="243"/>
      <c r="F5" s="255">
        <f>SUM('DOE25'!J196:J199)+SUM('DOE25'!J214:J217)+SUM('DOE25'!J232:J235)</f>
        <v>152211.06999999998</v>
      </c>
      <c r="G5" s="53">
        <f>SUM('DOE25'!K196:K199)+SUM('DOE25'!K214:K217)+SUM('DOE25'!K232:K235)</f>
        <v>17416.849999999999</v>
      </c>
      <c r="H5" s="259"/>
    </row>
    <row r="6" spans="1:9" x14ac:dyDescent="0.2">
      <c r="A6" s="32">
        <v>2100</v>
      </c>
      <c r="B6" t="s">
        <v>801</v>
      </c>
      <c r="C6" s="245">
        <f t="shared" si="0"/>
        <v>2641831.6641100002</v>
      </c>
      <c r="D6" s="20">
        <f>'DOE25'!L201+'DOE25'!L219+'DOE25'!L237-F6-G6</f>
        <v>2640326.4841100001</v>
      </c>
      <c r="E6" s="243"/>
      <c r="F6" s="255">
        <f>'DOE25'!J201+'DOE25'!J219+'DOE25'!J237</f>
        <v>1066.18</v>
      </c>
      <c r="G6" s="53">
        <f>'DOE25'!K201+'DOE25'!K219+'DOE25'!K237</f>
        <v>439</v>
      </c>
      <c r="H6" s="259"/>
    </row>
    <row r="7" spans="1:9" x14ac:dyDescent="0.2">
      <c r="A7" s="32">
        <v>2200</v>
      </c>
      <c r="B7" t="s">
        <v>834</v>
      </c>
      <c r="C7" s="245">
        <f t="shared" si="0"/>
        <v>462181.01353</v>
      </c>
      <c r="D7" s="20">
        <f>'DOE25'!L202+'DOE25'!L220+'DOE25'!L238-F7-G7</f>
        <v>458880.69352999999</v>
      </c>
      <c r="E7" s="243"/>
      <c r="F7" s="255">
        <f>'DOE25'!J202+'DOE25'!J220+'DOE25'!J238</f>
        <v>3300.32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1592703.6926449998</v>
      </c>
      <c r="D8" s="243"/>
      <c r="E8" s="20">
        <f>'DOE25'!L203+'DOE25'!L221+'DOE25'!L239-F8-G8-D9-D11</f>
        <v>1578124.1526449998</v>
      </c>
      <c r="F8" s="255">
        <f>'DOE25'!J203+'DOE25'!J221+'DOE25'!J239</f>
        <v>1722.98</v>
      </c>
      <c r="G8" s="53">
        <f>'DOE25'!K203+'DOE25'!K221+'DOE25'!K239</f>
        <v>12856.560000000001</v>
      </c>
      <c r="H8" s="259"/>
    </row>
    <row r="9" spans="1:9" x14ac:dyDescent="0.2">
      <c r="A9" s="32">
        <v>2310</v>
      </c>
      <c r="B9" t="s">
        <v>818</v>
      </c>
      <c r="C9" s="245">
        <f t="shared" si="0"/>
        <v>67862.61</v>
      </c>
      <c r="D9" s="244">
        <f>67862.61</f>
        <v>67862.61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10850</v>
      </c>
      <c r="D10" s="243"/>
      <c r="E10" s="244">
        <f>10850</f>
        <v>10850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232151.52</v>
      </c>
      <c r="D11" s="244">
        <f>232151.52</f>
        <v>232151.52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1774544.0801200001</v>
      </c>
      <c r="D12" s="20">
        <f>'DOE25'!L204+'DOE25'!L222+'DOE25'!L240-F12-G12</f>
        <v>1748775.1401199999</v>
      </c>
      <c r="E12" s="243"/>
      <c r="F12" s="255">
        <f>'DOE25'!J204+'DOE25'!J222+'DOE25'!J240</f>
        <v>1754.0900000000001</v>
      </c>
      <c r="G12" s="53">
        <f>'DOE25'!K204+'DOE25'!K222+'DOE25'!K240</f>
        <v>24014.85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2626611.936555</v>
      </c>
      <c r="D14" s="20">
        <f>'DOE25'!L206+'DOE25'!L224+'DOE25'!L242-F14-G14</f>
        <v>2613611.936555</v>
      </c>
      <c r="E14" s="243"/>
      <c r="F14" s="255">
        <f>'DOE25'!J206+'DOE25'!J224+'DOE25'!J242</f>
        <v>13000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983590.46000000008</v>
      </c>
      <c r="D15" s="20">
        <f>'DOE25'!L207+'DOE25'!L225+'DOE25'!L243-F15-G15</f>
        <v>983590.46000000008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730262.48411499988</v>
      </c>
      <c r="D16" s="243"/>
      <c r="E16" s="20">
        <f>'DOE25'!L208+'DOE25'!L226+'DOE25'!L244-F16-G16</f>
        <v>683445.48411499988</v>
      </c>
      <c r="F16" s="255">
        <f>'DOE25'!J208+'DOE25'!J226+'DOE25'!J244</f>
        <v>46817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37391</v>
      </c>
      <c r="D22" s="243"/>
      <c r="E22" s="243"/>
      <c r="F22" s="255">
        <f>'DOE25'!L254+'DOE25'!L335</f>
        <v>37391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1411607.65</v>
      </c>
      <c r="D25" s="243"/>
      <c r="E25" s="243"/>
      <c r="F25" s="258"/>
      <c r="G25" s="256"/>
      <c r="H25" s="257">
        <f>'DOE25'!L259+'DOE25'!L260+'DOE25'!L340+'DOE25'!L341</f>
        <v>1411607.65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479989.81000000006</v>
      </c>
      <c r="D29" s="20">
        <f>'DOE25'!L357+'DOE25'!L358+'DOE25'!L359-'DOE25'!I366-F29-G29</f>
        <v>478113.56000000006</v>
      </c>
      <c r="E29" s="243"/>
      <c r="F29" s="255">
        <f>'DOE25'!J357+'DOE25'!J358+'DOE25'!J359</f>
        <v>1698</v>
      </c>
      <c r="G29" s="53">
        <f>'DOE25'!K357+'DOE25'!K358+'DOE25'!K359</f>
        <v>178.25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1490473.27</v>
      </c>
      <c r="D31" s="20">
        <f>'DOE25'!L289+'DOE25'!L308+'DOE25'!L327+'DOE25'!L332+'DOE25'!L333+'DOE25'!L334-F31-G31</f>
        <v>1471446.91</v>
      </c>
      <c r="E31" s="243"/>
      <c r="F31" s="255">
        <f>'DOE25'!J289+'DOE25'!J308+'DOE25'!J327+'DOE25'!J332+'DOE25'!J333+'DOE25'!J334</f>
        <v>19026.36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31547964.21401</v>
      </c>
      <c r="E33" s="246">
        <f>SUM(E5:E31)</f>
        <v>2272419.6367599997</v>
      </c>
      <c r="F33" s="246">
        <f>SUM(F5:F31)</f>
        <v>277987</v>
      </c>
      <c r="G33" s="246">
        <f>SUM(G5:G31)</f>
        <v>54905.509999999995</v>
      </c>
      <c r="H33" s="246">
        <f>SUM(H5:H31)</f>
        <v>1411607.65</v>
      </c>
    </row>
    <row r="35" spans="2:8" ht="12" thickBot="1" x14ac:dyDescent="0.25">
      <c r="B35" s="253" t="s">
        <v>847</v>
      </c>
      <c r="D35" s="254">
        <f>E33</f>
        <v>2272419.6367599997</v>
      </c>
      <c r="E35" s="249"/>
    </row>
    <row r="36" spans="2:8" ht="12" thickTop="1" x14ac:dyDescent="0.2">
      <c r="B36" t="s">
        <v>815</v>
      </c>
      <c r="D36" s="20">
        <f>D33</f>
        <v>31547964.21401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28" activePane="bottomLeft" state="frozen"/>
      <selection pane="bottomLeft" activeCell="C134" sqref="C134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 xml:space="preserve">MILFORD SCHOOL DISTRICT 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195449.32</v>
      </c>
      <c r="D8" s="95">
        <f>'DOE25'!G9</f>
        <v>394.65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490554.19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296948.49</v>
      </c>
      <c r="D11" s="95">
        <f>'DOE25'!G12</f>
        <v>46259.92</v>
      </c>
      <c r="E11" s="95">
        <f>'DOE25'!H12</f>
        <v>10407.99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17049.599999999999</v>
      </c>
      <c r="D12" s="95">
        <f>'DOE25'!G13</f>
        <v>52324.12</v>
      </c>
      <c r="E12" s="95">
        <f>'DOE25'!H13</f>
        <v>422228.02</v>
      </c>
      <c r="F12" s="95">
        <f>'DOE25'!I13</f>
        <v>0</v>
      </c>
      <c r="G12" s="95">
        <f>'DOE25'!J13</f>
        <v>2756589.37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1390.58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114161.13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500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1115553.31</v>
      </c>
      <c r="D18" s="41">
        <f>SUM(D8:D17)</f>
        <v>98978.69</v>
      </c>
      <c r="E18" s="41">
        <f>SUM(E8:E17)</f>
        <v>433136.01</v>
      </c>
      <c r="F18" s="41">
        <f>SUM(F8:F17)</f>
        <v>0</v>
      </c>
      <c r="G18" s="41">
        <f>SUM(G8:G17)</f>
        <v>2756589.37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353616.4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3754.89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160072.94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163827.83000000002</v>
      </c>
      <c r="D31" s="41">
        <f>SUM(D21:D30)</f>
        <v>0</v>
      </c>
      <c r="E31" s="41">
        <f>SUM(E21:E30)</f>
        <v>353616.4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114161.13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2531845.0300000003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150658.55000000002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74085.789999999994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77000</v>
      </c>
      <c r="D46" s="95">
        <f>'DOE25'!G47</f>
        <v>98978.69</v>
      </c>
      <c r="E46" s="95">
        <f>'DOE25'!H47</f>
        <v>79519.61</v>
      </c>
      <c r="F46" s="95">
        <f>'DOE25'!I47</f>
        <v>0</v>
      </c>
      <c r="G46" s="95">
        <f>'DOE25'!J47</f>
        <v>0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94954.19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665610.16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951725.48</v>
      </c>
      <c r="D49" s="41">
        <f>SUM(D34:D48)</f>
        <v>98978.69</v>
      </c>
      <c r="E49" s="41">
        <f>SUM(E34:E48)</f>
        <v>79519.61</v>
      </c>
      <c r="F49" s="41">
        <f>SUM(F34:F48)</f>
        <v>0</v>
      </c>
      <c r="G49" s="41">
        <f>SUM(G34:G48)</f>
        <v>2756589.37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1115553.31</v>
      </c>
      <c r="D50" s="41">
        <f>D49+D31</f>
        <v>98978.69</v>
      </c>
      <c r="E50" s="41">
        <f>E49+E31</f>
        <v>433136.01</v>
      </c>
      <c r="F50" s="41">
        <f>F49+F31</f>
        <v>0</v>
      </c>
      <c r="G50" s="41">
        <f>G49+G31</f>
        <v>2756589.37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20186289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1163053.22</v>
      </c>
      <c r="D56" s="24" t="s">
        <v>289</v>
      </c>
      <c r="E56" s="95">
        <f>'DOE25'!H78</f>
        <v>74880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569.19000000000005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76611.7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453975.83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38002.76</v>
      </c>
      <c r="D60" s="95">
        <f>SUM('DOE25'!G97:G109)</f>
        <v>56</v>
      </c>
      <c r="E60" s="95">
        <f>SUM('DOE25'!H97:H109)</f>
        <v>54801.84</v>
      </c>
      <c r="F60" s="95">
        <f>SUM('DOE25'!I97:I109)</f>
        <v>0</v>
      </c>
      <c r="G60" s="95">
        <f>SUM('DOE25'!J97:J109)</f>
        <v>107372.01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1201625.17</v>
      </c>
      <c r="D61" s="130">
        <f>SUM(D56:D60)</f>
        <v>454031.83</v>
      </c>
      <c r="E61" s="130">
        <f>SUM(E56:E60)</f>
        <v>129681.84</v>
      </c>
      <c r="F61" s="130">
        <f>SUM(F56:F60)</f>
        <v>0</v>
      </c>
      <c r="G61" s="130">
        <f>SUM(G56:G60)</f>
        <v>183983.71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21387914.170000002</v>
      </c>
      <c r="D62" s="22">
        <f>D55+D61</f>
        <v>454031.83</v>
      </c>
      <c r="E62" s="22">
        <f>E55+E61</f>
        <v>129681.84</v>
      </c>
      <c r="F62" s="22">
        <f>F55+F61</f>
        <v>0</v>
      </c>
      <c r="G62" s="22">
        <f>G55+G61</f>
        <v>183983.71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8245513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3129442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11374955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286225.48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296700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128643.24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62466.74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9658.58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774035.46</v>
      </c>
      <c r="D77" s="130">
        <f>SUM(D71:D76)</f>
        <v>9658.58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12148990.460000001</v>
      </c>
      <c r="D80" s="130">
        <f>SUM(D78:D79)+D77+D69</f>
        <v>9658.58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183725.59</v>
      </c>
      <c r="D87" s="95">
        <f>SUM('DOE25'!G152:G160)</f>
        <v>307238.03999999998</v>
      </c>
      <c r="E87" s="95">
        <f>SUM('DOE25'!H152:H160)</f>
        <v>1370604.1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183725.59</v>
      </c>
      <c r="D90" s="131">
        <f>SUM(D84:D89)</f>
        <v>307238.03999999998</v>
      </c>
      <c r="E90" s="131">
        <f>SUM(E84:E89)</f>
        <v>1370604.1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67876.87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35005.22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35005.22</v>
      </c>
      <c r="D102" s="86">
        <f>SUM(D92:D101)</f>
        <v>67876.87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33755635.440000005</v>
      </c>
      <c r="D103" s="86">
        <f>D62+D80+D90+D102</f>
        <v>838805.32</v>
      </c>
      <c r="E103" s="86">
        <f>E62+E80+E90+E102</f>
        <v>1500285.9400000002</v>
      </c>
      <c r="F103" s="86">
        <f>F62+F80+F90+F102</f>
        <v>0</v>
      </c>
      <c r="G103" s="86">
        <f>G62+G80+G102</f>
        <v>183983.71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14585233.52338</v>
      </c>
      <c r="D108" s="24" t="s">
        <v>289</v>
      </c>
      <c r="E108" s="95">
        <f>('DOE25'!L275)+('DOE25'!L294)+('DOE25'!L313)</f>
        <v>143125.01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4979643.0125850011</v>
      </c>
      <c r="D109" s="24" t="s">
        <v>289</v>
      </c>
      <c r="E109" s="95">
        <f>('DOE25'!L276)+('DOE25'!L295)+('DOE25'!L314)</f>
        <v>525049.6399999999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1140106.8237300001</v>
      </c>
      <c r="D110" s="24" t="s">
        <v>289</v>
      </c>
      <c r="E110" s="95">
        <f>('DOE25'!L277)+('DOE25'!L296)+('DOE25'!L315)</f>
        <v>107924.36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317849.46000000002</v>
      </c>
      <c r="D111" s="24" t="s">
        <v>289</v>
      </c>
      <c r="E111" s="95">
        <f>+('DOE25'!L278)+('DOE25'!L297)+('DOE25'!L316)</f>
        <v>40358.119999999995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7681.05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21022832.819695003</v>
      </c>
      <c r="D114" s="86">
        <f>SUM(D108:D113)</f>
        <v>0</v>
      </c>
      <c r="E114" s="86">
        <f>SUM(E108:E113)</f>
        <v>824138.17999999993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2641831.6641100002</v>
      </c>
      <c r="D117" s="24" t="s">
        <v>289</v>
      </c>
      <c r="E117" s="95">
        <f>+('DOE25'!L280)+('DOE25'!L299)+('DOE25'!L318)</f>
        <v>488194.83000000007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462181.01353</v>
      </c>
      <c r="D118" s="24" t="s">
        <v>289</v>
      </c>
      <c r="E118" s="95">
        <f>+('DOE25'!L281)+('DOE25'!L300)+('DOE25'!L319)</f>
        <v>72193.64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1892717.8226449999</v>
      </c>
      <c r="D119" s="24" t="s">
        <v>289</v>
      </c>
      <c r="E119" s="95">
        <f>+('DOE25'!L282)+('DOE25'!L301)+('DOE25'!L320)</f>
        <v>93384.459999999992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1774544.0801200001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2626611.936555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983590.46000000008</v>
      </c>
      <c r="D123" s="24" t="s">
        <v>289</v>
      </c>
      <c r="E123" s="95">
        <f>+('DOE25'!L286)+('DOE25'!L305)+('DOE25'!L324)</f>
        <v>12562.16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730262.48411499988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838805.32000000007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11111739.461075</v>
      </c>
      <c r="D127" s="86">
        <f>SUM(D117:D126)</f>
        <v>838805.32000000007</v>
      </c>
      <c r="E127" s="86">
        <f>SUM(E117:E126)</f>
        <v>666335.09000000008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37391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991941.24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419666.41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35000</v>
      </c>
    </row>
    <row r="134" spans="1:7" x14ac:dyDescent="0.2">
      <c r="A134" t="s">
        <v>233</v>
      </c>
      <c r="B134" s="32" t="s">
        <v>234</v>
      </c>
      <c r="C134" s="95">
        <f>'DOE25'!L262</f>
        <v>67876.87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20358.75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163624.95999999999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-183983.71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1516875.52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35000</v>
      </c>
    </row>
    <row r="144" spans="1:7" ht="12.75" thickTop="1" thickBot="1" x14ac:dyDescent="0.25">
      <c r="A144" s="33" t="s">
        <v>244</v>
      </c>
      <c r="C144" s="86">
        <f>(C114+C127+C143)</f>
        <v>33651447.800770007</v>
      </c>
      <c r="D144" s="86">
        <f>(D114+D127+D143)</f>
        <v>838805.32000000007</v>
      </c>
      <c r="E144" s="86">
        <f>(E114+E127+E143)</f>
        <v>1490473.27</v>
      </c>
      <c r="F144" s="86">
        <f>(F114+F127+F143)</f>
        <v>0</v>
      </c>
      <c r="G144" s="86">
        <f>(G114+G127+G143)</f>
        <v>35000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15</v>
      </c>
      <c r="C150" s="153">
        <f>'DOE25'!G489</f>
        <v>20</v>
      </c>
      <c r="D150" s="153">
        <f>'DOE25'!H489</f>
        <v>10</v>
      </c>
      <c r="E150" s="153">
        <f>'DOE25'!I489</f>
        <v>20</v>
      </c>
      <c r="F150" s="153">
        <f>'DOE25'!J489</f>
        <v>5</v>
      </c>
      <c r="G150" s="24" t="s">
        <v>289</v>
      </c>
    </row>
    <row r="151" spans="1:9" x14ac:dyDescent="0.2">
      <c r="A151" s="136" t="s">
        <v>28</v>
      </c>
      <c r="B151" s="152" t="str">
        <f>'DOE25'!F490</f>
        <v>01/98</v>
      </c>
      <c r="C151" s="152" t="str">
        <f>'DOE25'!G490</f>
        <v>01/08</v>
      </c>
      <c r="D151" s="152" t="str">
        <f>'DOE25'!H490</f>
        <v>07/13</v>
      </c>
      <c r="E151" s="152" t="str">
        <f>'DOE25'!I490</f>
        <v>01/00</v>
      </c>
      <c r="F151" s="152" t="str">
        <f>'DOE25'!J490</f>
        <v>07/10</v>
      </c>
      <c r="G151" s="24" t="s">
        <v>289</v>
      </c>
    </row>
    <row r="152" spans="1:9" x14ac:dyDescent="0.2">
      <c r="A152" s="136" t="s">
        <v>29</v>
      </c>
      <c r="B152" s="152" t="str">
        <f>'DOE25'!F491</f>
        <v>01/13</v>
      </c>
      <c r="C152" s="152" t="str">
        <f>'DOE25'!G491</f>
        <v>01/28</v>
      </c>
      <c r="D152" s="152" t="str">
        <f>'DOE25'!H491</f>
        <v>08/23</v>
      </c>
      <c r="E152" s="152" t="str">
        <f>'DOE25'!I491</f>
        <v>01/20</v>
      </c>
      <c r="F152" s="152" t="str">
        <f>'DOE25'!J491</f>
        <v>07/15</v>
      </c>
      <c r="G152" s="24" t="s">
        <v>289</v>
      </c>
    </row>
    <row r="153" spans="1:9" x14ac:dyDescent="0.2">
      <c r="A153" s="136" t="s">
        <v>30</v>
      </c>
      <c r="B153" s="137">
        <f>'DOE25'!F492</f>
        <v>1292240</v>
      </c>
      <c r="C153" s="137">
        <f>'DOE25'!G492</f>
        <v>4393500</v>
      </c>
      <c r="D153" s="137">
        <f>'DOE25'!H492</f>
        <v>1404300</v>
      </c>
      <c r="E153" s="137">
        <f>'DOE25'!I492</f>
        <v>10895000</v>
      </c>
      <c r="F153" s="137">
        <f>'DOE25'!J492</f>
        <v>438009</v>
      </c>
      <c r="G153" s="24" t="s">
        <v>289</v>
      </c>
    </row>
    <row r="154" spans="1:9" x14ac:dyDescent="0.2">
      <c r="A154" s="136" t="s">
        <v>31</v>
      </c>
      <c r="B154" s="137">
        <f>'DOE25'!F493</f>
        <v>4.62</v>
      </c>
      <c r="C154" s="137">
        <f>'DOE25'!G493</f>
        <v>4.43</v>
      </c>
      <c r="D154" s="137">
        <f>'DOE25'!H493</f>
        <v>5.0999999999999996</v>
      </c>
      <c r="E154" s="137">
        <f>'DOE25'!I493</f>
        <v>5.58</v>
      </c>
      <c r="F154" s="137">
        <f>'DOE25'!J493</f>
        <v>2.56</v>
      </c>
      <c r="G154" s="24" t="s">
        <v>289</v>
      </c>
    </row>
    <row r="155" spans="1:9" x14ac:dyDescent="0.2">
      <c r="A155" s="22" t="s">
        <v>32</v>
      </c>
      <c r="B155" s="137">
        <f>'DOE25'!F494</f>
        <v>80000</v>
      </c>
      <c r="C155" s="137">
        <f>'DOE25'!G494</f>
        <v>3515000</v>
      </c>
      <c r="D155" s="137">
        <f>'DOE25'!H494</f>
        <v>0</v>
      </c>
      <c r="E155" s="137">
        <f>'DOE25'!I494</f>
        <v>4355000</v>
      </c>
      <c r="F155" s="137">
        <f>'DOE25'!J494</f>
        <v>256329</v>
      </c>
      <c r="G155" s="138">
        <f>SUM(B155:F155)</f>
        <v>8206329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80000</v>
      </c>
      <c r="C157" s="137">
        <f>'DOE25'!G496</f>
        <v>220000</v>
      </c>
      <c r="D157" s="137">
        <f>'DOE25'!H496</f>
        <v>0</v>
      </c>
      <c r="E157" s="137">
        <f>'DOE25'!I496</f>
        <v>545000</v>
      </c>
      <c r="F157" s="137">
        <f>'DOE25'!J496</f>
        <v>94355</v>
      </c>
      <c r="G157" s="138">
        <f t="shared" si="0"/>
        <v>939355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3295000</v>
      </c>
      <c r="D158" s="137">
        <f>'DOE25'!H497</f>
        <v>0</v>
      </c>
      <c r="E158" s="137">
        <f>'DOE25'!I497</f>
        <v>3810000</v>
      </c>
      <c r="F158" s="137">
        <f>'DOE25'!J497</f>
        <v>161974</v>
      </c>
      <c r="G158" s="138">
        <f t="shared" si="0"/>
        <v>7266974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1144844</v>
      </c>
      <c r="D159" s="137">
        <f>'DOE25'!H498</f>
        <v>0</v>
      </c>
      <c r="E159" s="137">
        <f>'DOE25'!I498</f>
        <v>864265</v>
      </c>
      <c r="F159" s="137">
        <f>'DOE25'!J498</f>
        <v>5816</v>
      </c>
      <c r="G159" s="138">
        <f t="shared" si="0"/>
        <v>2014925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4439844</v>
      </c>
      <c r="D160" s="137">
        <f>'DOE25'!H499</f>
        <v>0</v>
      </c>
      <c r="E160" s="137">
        <f>'DOE25'!I499</f>
        <v>4674265</v>
      </c>
      <c r="F160" s="137">
        <f>'DOE25'!J499</f>
        <v>167790</v>
      </c>
      <c r="G160" s="138">
        <f t="shared" si="0"/>
        <v>9281899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220000</v>
      </c>
      <c r="D161" s="137">
        <f>'DOE25'!H500</f>
        <v>0</v>
      </c>
      <c r="E161" s="137">
        <f>'DOE25'!I500</f>
        <v>545000</v>
      </c>
      <c r="F161" s="137">
        <f>'DOE25'!J500</f>
        <v>96770</v>
      </c>
      <c r="G161" s="138">
        <f t="shared" si="0"/>
        <v>861770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149106</v>
      </c>
      <c r="D162" s="137">
        <f>'DOE25'!H501</f>
        <v>43194</v>
      </c>
      <c r="E162" s="137">
        <f>'DOE25'!I501</f>
        <v>214851</v>
      </c>
      <c r="F162" s="137">
        <f>'DOE25'!J501</f>
        <v>4147</v>
      </c>
      <c r="G162" s="138">
        <f t="shared" si="0"/>
        <v>411298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369106</v>
      </c>
      <c r="D163" s="137">
        <f>'DOE25'!H502</f>
        <v>43194</v>
      </c>
      <c r="E163" s="137">
        <f>'DOE25'!I502</f>
        <v>759851</v>
      </c>
      <c r="F163" s="137">
        <f>'DOE25'!J502</f>
        <v>100917</v>
      </c>
      <c r="G163" s="138">
        <f t="shared" si="0"/>
        <v>1273068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740</v>
      </c>
      <c r="B1" s="284"/>
      <c r="C1" s="284"/>
      <c r="D1" s="284"/>
    </row>
    <row r="2" spans="1:4" x14ac:dyDescent="0.2">
      <c r="A2" s="187" t="s">
        <v>717</v>
      </c>
      <c r="B2" s="186" t="str">
        <f>'DOE25'!A2</f>
        <v xml:space="preserve">MILFORD SCHOOL DISTRICT 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12106</v>
      </c>
    </row>
    <row r="5" spans="1:4" x14ac:dyDescent="0.2">
      <c r="B5" t="s">
        <v>704</v>
      </c>
      <c r="C5" s="179">
        <f>IF('DOE25'!G664+'DOE25'!G669=0,0,ROUND('DOE25'!G671,0))</f>
        <v>12469</v>
      </c>
    </row>
    <row r="6" spans="1:4" x14ac:dyDescent="0.2">
      <c r="B6" t="s">
        <v>62</v>
      </c>
      <c r="C6" s="179">
        <f>IF('DOE25'!H664+'DOE25'!H669=0,0,ROUND('DOE25'!H671,0))</f>
        <v>13388</v>
      </c>
    </row>
    <row r="7" spans="1:4" x14ac:dyDescent="0.2">
      <c r="B7" t="s">
        <v>705</v>
      </c>
      <c r="C7" s="179">
        <f>IF('DOE25'!I664+'DOE25'!I669=0,0,ROUND('DOE25'!I671,0))</f>
        <v>12644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14728359</v>
      </c>
      <c r="D10" s="182">
        <f>ROUND((C10/$C$28)*100,1)</f>
        <v>42.8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5504693</v>
      </c>
      <c r="D11" s="182">
        <f>ROUND((C11/$C$28)*100,1)</f>
        <v>16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1248031</v>
      </c>
      <c r="D12" s="182">
        <f>ROUND((C12/$C$28)*100,1)</f>
        <v>3.6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358208</v>
      </c>
      <c r="D13" s="182">
        <f>ROUND((C13/$C$28)*100,1)</f>
        <v>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3130026</v>
      </c>
      <c r="D15" s="182">
        <f t="shared" ref="D15:D27" si="0">ROUND((C15/$C$28)*100,1)</f>
        <v>9.1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534375</v>
      </c>
      <c r="D16" s="182">
        <f t="shared" si="0"/>
        <v>1.6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2716365</v>
      </c>
      <c r="D17" s="182">
        <f t="shared" si="0"/>
        <v>7.9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1774544</v>
      </c>
      <c r="D18" s="182">
        <f t="shared" si="0"/>
        <v>5.2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2626612</v>
      </c>
      <c r="D20" s="182">
        <f t="shared" si="0"/>
        <v>7.6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996153</v>
      </c>
      <c r="D21" s="182">
        <f t="shared" si="0"/>
        <v>2.9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7681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419666</v>
      </c>
      <c r="D25" s="182">
        <f t="shared" si="0"/>
        <v>1.2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384773.17</v>
      </c>
      <c r="D27" s="182">
        <f t="shared" si="0"/>
        <v>1.1000000000000001</v>
      </c>
    </row>
    <row r="28" spans="1:4" x14ac:dyDescent="0.2">
      <c r="B28" s="187" t="s">
        <v>723</v>
      </c>
      <c r="C28" s="180">
        <f>SUM(C10:C27)</f>
        <v>34429486.170000002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37391</v>
      </c>
    </row>
    <row r="30" spans="1:4" x14ac:dyDescent="0.2">
      <c r="B30" s="187" t="s">
        <v>729</v>
      </c>
      <c r="C30" s="180">
        <f>SUM(C28:C29)</f>
        <v>34466877.170000002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991941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20186289</v>
      </c>
      <c r="D35" s="182">
        <f t="shared" ref="D35:D40" si="1">ROUND((C35/$C$41)*100,1)</f>
        <v>56.5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1515290.7199999988</v>
      </c>
      <c r="D36" s="182">
        <f t="shared" si="1"/>
        <v>4.2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11374955</v>
      </c>
      <c r="D37" s="182">
        <f t="shared" si="1"/>
        <v>31.8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783694</v>
      </c>
      <c r="D38" s="182">
        <f t="shared" si="1"/>
        <v>2.2000000000000002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1861568</v>
      </c>
      <c r="D39" s="182">
        <f t="shared" si="1"/>
        <v>5.2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35721796.719999999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19" sqref="C19:M19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5" t="s">
        <v>770</v>
      </c>
      <c r="B1" s="296"/>
      <c r="C1" s="296"/>
      <c r="D1" s="296"/>
      <c r="E1" s="296"/>
      <c r="F1" s="296"/>
      <c r="G1" s="296"/>
      <c r="H1" s="296"/>
      <c r="I1" s="296"/>
      <c r="J1" s="213"/>
      <c r="K1" s="213"/>
      <c r="L1" s="213"/>
      <c r="M1" s="214"/>
    </row>
    <row r="2" spans="1:26" ht="12.75" x14ac:dyDescent="0.2">
      <c r="A2" s="301" t="s">
        <v>767</v>
      </c>
      <c r="B2" s="302"/>
      <c r="C2" s="302"/>
      <c r="D2" s="302"/>
      <c r="E2" s="302"/>
      <c r="F2" s="299" t="str">
        <f>'DOE25'!A2</f>
        <v xml:space="preserve">MILFORD SCHOOL DISTRICT </v>
      </c>
      <c r="G2" s="300"/>
      <c r="H2" s="300"/>
      <c r="I2" s="300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7" t="s">
        <v>771</v>
      </c>
      <c r="D3" s="297"/>
      <c r="E3" s="297"/>
      <c r="F3" s="297"/>
      <c r="G3" s="297"/>
      <c r="H3" s="297"/>
      <c r="I3" s="297"/>
      <c r="J3" s="297"/>
      <c r="K3" s="297"/>
      <c r="L3" s="297"/>
      <c r="M3" s="298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7"/>
      <c r="AB29" s="207"/>
      <c r="AC29" s="291"/>
      <c r="AD29" s="291"/>
      <c r="AE29" s="291"/>
      <c r="AF29" s="291"/>
      <c r="AG29" s="291"/>
      <c r="AH29" s="291"/>
      <c r="AI29" s="291"/>
      <c r="AJ29" s="291"/>
      <c r="AK29" s="291"/>
      <c r="AL29" s="291"/>
      <c r="AM29" s="291"/>
      <c r="AN29" s="207"/>
      <c r="AO29" s="207"/>
      <c r="AP29" s="291"/>
      <c r="AQ29" s="291"/>
      <c r="AR29" s="291"/>
      <c r="AS29" s="291"/>
      <c r="AT29" s="291"/>
      <c r="AU29" s="291"/>
      <c r="AV29" s="291"/>
      <c r="AW29" s="291"/>
      <c r="AX29" s="291"/>
      <c r="AY29" s="291"/>
      <c r="AZ29" s="291"/>
      <c r="BA29" s="207"/>
      <c r="BB29" s="207"/>
      <c r="BC29" s="291"/>
      <c r="BD29" s="291"/>
      <c r="BE29" s="291"/>
      <c r="BF29" s="291"/>
      <c r="BG29" s="291"/>
      <c r="BH29" s="291"/>
      <c r="BI29" s="291"/>
      <c r="BJ29" s="291"/>
      <c r="BK29" s="291"/>
      <c r="BL29" s="291"/>
      <c r="BM29" s="291"/>
      <c r="BN29" s="207"/>
      <c r="BO29" s="207"/>
      <c r="BP29" s="291"/>
      <c r="BQ29" s="291"/>
      <c r="BR29" s="291"/>
      <c r="BS29" s="291"/>
      <c r="BT29" s="291"/>
      <c r="BU29" s="291"/>
      <c r="BV29" s="291"/>
      <c r="BW29" s="291"/>
      <c r="BX29" s="291"/>
      <c r="BY29" s="291"/>
      <c r="BZ29" s="291"/>
      <c r="CA29" s="207"/>
      <c r="CB29" s="207"/>
      <c r="CC29" s="291"/>
      <c r="CD29" s="291"/>
      <c r="CE29" s="291"/>
      <c r="CF29" s="291"/>
      <c r="CG29" s="291"/>
      <c r="CH29" s="291"/>
      <c r="CI29" s="291"/>
      <c r="CJ29" s="291"/>
      <c r="CK29" s="291"/>
      <c r="CL29" s="291"/>
      <c r="CM29" s="291"/>
      <c r="CN29" s="207"/>
      <c r="CO29" s="207"/>
      <c r="CP29" s="291"/>
      <c r="CQ29" s="291"/>
      <c r="CR29" s="291"/>
      <c r="CS29" s="291"/>
      <c r="CT29" s="291"/>
      <c r="CU29" s="291"/>
      <c r="CV29" s="291"/>
      <c r="CW29" s="291"/>
      <c r="CX29" s="291"/>
      <c r="CY29" s="291"/>
      <c r="CZ29" s="291"/>
      <c r="DA29" s="207"/>
      <c r="DB29" s="207"/>
      <c r="DC29" s="291"/>
      <c r="DD29" s="291"/>
      <c r="DE29" s="291"/>
      <c r="DF29" s="291"/>
      <c r="DG29" s="291"/>
      <c r="DH29" s="291"/>
      <c r="DI29" s="291"/>
      <c r="DJ29" s="291"/>
      <c r="DK29" s="291"/>
      <c r="DL29" s="291"/>
      <c r="DM29" s="291"/>
      <c r="DN29" s="207"/>
      <c r="DO29" s="207"/>
      <c r="DP29" s="291"/>
      <c r="DQ29" s="291"/>
      <c r="DR29" s="291"/>
      <c r="DS29" s="291"/>
      <c r="DT29" s="291"/>
      <c r="DU29" s="291"/>
      <c r="DV29" s="291"/>
      <c r="DW29" s="291"/>
      <c r="DX29" s="291"/>
      <c r="DY29" s="291"/>
      <c r="DZ29" s="291"/>
      <c r="EA29" s="207"/>
      <c r="EB29" s="207"/>
      <c r="EC29" s="291"/>
      <c r="ED29" s="291"/>
      <c r="EE29" s="291"/>
      <c r="EF29" s="291"/>
      <c r="EG29" s="291"/>
      <c r="EH29" s="291"/>
      <c r="EI29" s="291"/>
      <c r="EJ29" s="291"/>
      <c r="EK29" s="291"/>
      <c r="EL29" s="291"/>
      <c r="EM29" s="291"/>
      <c r="EN29" s="207"/>
      <c r="EO29" s="207"/>
      <c r="EP29" s="291"/>
      <c r="EQ29" s="291"/>
      <c r="ER29" s="291"/>
      <c r="ES29" s="291"/>
      <c r="ET29" s="291"/>
      <c r="EU29" s="291"/>
      <c r="EV29" s="291"/>
      <c r="EW29" s="291"/>
      <c r="EX29" s="291"/>
      <c r="EY29" s="291"/>
      <c r="EZ29" s="291"/>
      <c r="FA29" s="207"/>
      <c r="FB29" s="207"/>
      <c r="FC29" s="291"/>
      <c r="FD29" s="291"/>
      <c r="FE29" s="291"/>
      <c r="FF29" s="291"/>
      <c r="FG29" s="291"/>
      <c r="FH29" s="291"/>
      <c r="FI29" s="291"/>
      <c r="FJ29" s="291"/>
      <c r="FK29" s="291"/>
      <c r="FL29" s="291"/>
      <c r="FM29" s="291"/>
      <c r="FN29" s="207"/>
      <c r="FO29" s="207"/>
      <c r="FP29" s="291"/>
      <c r="FQ29" s="291"/>
      <c r="FR29" s="291"/>
      <c r="FS29" s="291"/>
      <c r="FT29" s="291"/>
      <c r="FU29" s="291"/>
      <c r="FV29" s="291"/>
      <c r="FW29" s="291"/>
      <c r="FX29" s="291"/>
      <c r="FY29" s="291"/>
      <c r="FZ29" s="291"/>
      <c r="GA29" s="207"/>
      <c r="GB29" s="207"/>
      <c r="GC29" s="291"/>
      <c r="GD29" s="291"/>
      <c r="GE29" s="291"/>
      <c r="GF29" s="291"/>
      <c r="GG29" s="291"/>
      <c r="GH29" s="291"/>
      <c r="GI29" s="291"/>
      <c r="GJ29" s="291"/>
      <c r="GK29" s="291"/>
      <c r="GL29" s="291"/>
      <c r="GM29" s="291"/>
      <c r="GN29" s="207"/>
      <c r="GO29" s="207"/>
      <c r="GP29" s="291"/>
      <c r="GQ29" s="291"/>
      <c r="GR29" s="291"/>
      <c r="GS29" s="291"/>
      <c r="GT29" s="291"/>
      <c r="GU29" s="291"/>
      <c r="GV29" s="291"/>
      <c r="GW29" s="291"/>
      <c r="GX29" s="291"/>
      <c r="GY29" s="291"/>
      <c r="GZ29" s="291"/>
      <c r="HA29" s="207"/>
      <c r="HB29" s="207"/>
      <c r="HC29" s="291"/>
      <c r="HD29" s="291"/>
      <c r="HE29" s="291"/>
      <c r="HF29" s="291"/>
      <c r="HG29" s="291"/>
      <c r="HH29" s="291"/>
      <c r="HI29" s="291"/>
      <c r="HJ29" s="291"/>
      <c r="HK29" s="291"/>
      <c r="HL29" s="291"/>
      <c r="HM29" s="291"/>
      <c r="HN29" s="207"/>
      <c r="HO29" s="207"/>
      <c r="HP29" s="291"/>
      <c r="HQ29" s="291"/>
      <c r="HR29" s="291"/>
      <c r="HS29" s="291"/>
      <c r="HT29" s="291"/>
      <c r="HU29" s="291"/>
      <c r="HV29" s="291"/>
      <c r="HW29" s="291"/>
      <c r="HX29" s="291"/>
      <c r="HY29" s="291"/>
      <c r="HZ29" s="291"/>
      <c r="IA29" s="207"/>
      <c r="IB29" s="207"/>
      <c r="IC29" s="291"/>
      <c r="ID29" s="291"/>
      <c r="IE29" s="291"/>
      <c r="IF29" s="291"/>
      <c r="IG29" s="291"/>
      <c r="IH29" s="291"/>
      <c r="II29" s="291"/>
      <c r="IJ29" s="291"/>
      <c r="IK29" s="291"/>
      <c r="IL29" s="291"/>
      <c r="IM29" s="291"/>
      <c r="IN29" s="207"/>
      <c r="IO29" s="207"/>
      <c r="IP29" s="291"/>
      <c r="IQ29" s="291"/>
      <c r="IR29" s="291"/>
      <c r="IS29" s="291"/>
      <c r="IT29" s="291"/>
      <c r="IU29" s="291"/>
      <c r="IV29" s="291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7"/>
      <c r="AB30" s="207"/>
      <c r="AC30" s="291"/>
      <c r="AD30" s="291"/>
      <c r="AE30" s="291"/>
      <c r="AF30" s="291"/>
      <c r="AG30" s="291"/>
      <c r="AH30" s="291"/>
      <c r="AI30" s="291"/>
      <c r="AJ30" s="291"/>
      <c r="AK30" s="291"/>
      <c r="AL30" s="291"/>
      <c r="AM30" s="291"/>
      <c r="AN30" s="207"/>
      <c r="AO30" s="207"/>
      <c r="AP30" s="291"/>
      <c r="AQ30" s="291"/>
      <c r="AR30" s="291"/>
      <c r="AS30" s="291"/>
      <c r="AT30" s="291"/>
      <c r="AU30" s="291"/>
      <c r="AV30" s="291"/>
      <c r="AW30" s="291"/>
      <c r="AX30" s="291"/>
      <c r="AY30" s="291"/>
      <c r="AZ30" s="291"/>
      <c r="BA30" s="207"/>
      <c r="BB30" s="207"/>
      <c r="BC30" s="291"/>
      <c r="BD30" s="291"/>
      <c r="BE30" s="291"/>
      <c r="BF30" s="291"/>
      <c r="BG30" s="291"/>
      <c r="BH30" s="291"/>
      <c r="BI30" s="291"/>
      <c r="BJ30" s="291"/>
      <c r="BK30" s="291"/>
      <c r="BL30" s="291"/>
      <c r="BM30" s="291"/>
      <c r="BN30" s="207"/>
      <c r="BO30" s="207"/>
      <c r="BP30" s="291"/>
      <c r="BQ30" s="291"/>
      <c r="BR30" s="291"/>
      <c r="BS30" s="291"/>
      <c r="BT30" s="291"/>
      <c r="BU30" s="291"/>
      <c r="BV30" s="291"/>
      <c r="BW30" s="291"/>
      <c r="BX30" s="291"/>
      <c r="BY30" s="291"/>
      <c r="BZ30" s="291"/>
      <c r="CA30" s="207"/>
      <c r="CB30" s="207"/>
      <c r="CC30" s="291"/>
      <c r="CD30" s="291"/>
      <c r="CE30" s="291"/>
      <c r="CF30" s="291"/>
      <c r="CG30" s="291"/>
      <c r="CH30" s="291"/>
      <c r="CI30" s="291"/>
      <c r="CJ30" s="291"/>
      <c r="CK30" s="291"/>
      <c r="CL30" s="291"/>
      <c r="CM30" s="291"/>
      <c r="CN30" s="207"/>
      <c r="CO30" s="207"/>
      <c r="CP30" s="291"/>
      <c r="CQ30" s="291"/>
      <c r="CR30" s="291"/>
      <c r="CS30" s="291"/>
      <c r="CT30" s="291"/>
      <c r="CU30" s="291"/>
      <c r="CV30" s="291"/>
      <c r="CW30" s="291"/>
      <c r="CX30" s="291"/>
      <c r="CY30" s="291"/>
      <c r="CZ30" s="291"/>
      <c r="DA30" s="207"/>
      <c r="DB30" s="207"/>
      <c r="DC30" s="291"/>
      <c r="DD30" s="291"/>
      <c r="DE30" s="291"/>
      <c r="DF30" s="291"/>
      <c r="DG30" s="291"/>
      <c r="DH30" s="291"/>
      <c r="DI30" s="291"/>
      <c r="DJ30" s="291"/>
      <c r="DK30" s="291"/>
      <c r="DL30" s="291"/>
      <c r="DM30" s="291"/>
      <c r="DN30" s="207"/>
      <c r="DO30" s="207"/>
      <c r="DP30" s="291"/>
      <c r="DQ30" s="291"/>
      <c r="DR30" s="291"/>
      <c r="DS30" s="291"/>
      <c r="DT30" s="291"/>
      <c r="DU30" s="291"/>
      <c r="DV30" s="291"/>
      <c r="DW30" s="291"/>
      <c r="DX30" s="291"/>
      <c r="DY30" s="291"/>
      <c r="DZ30" s="291"/>
      <c r="EA30" s="207"/>
      <c r="EB30" s="207"/>
      <c r="EC30" s="291"/>
      <c r="ED30" s="291"/>
      <c r="EE30" s="291"/>
      <c r="EF30" s="291"/>
      <c r="EG30" s="291"/>
      <c r="EH30" s="291"/>
      <c r="EI30" s="291"/>
      <c r="EJ30" s="291"/>
      <c r="EK30" s="291"/>
      <c r="EL30" s="291"/>
      <c r="EM30" s="291"/>
      <c r="EN30" s="207"/>
      <c r="EO30" s="207"/>
      <c r="EP30" s="291"/>
      <c r="EQ30" s="291"/>
      <c r="ER30" s="291"/>
      <c r="ES30" s="291"/>
      <c r="ET30" s="291"/>
      <c r="EU30" s="291"/>
      <c r="EV30" s="291"/>
      <c r="EW30" s="291"/>
      <c r="EX30" s="291"/>
      <c r="EY30" s="291"/>
      <c r="EZ30" s="291"/>
      <c r="FA30" s="207"/>
      <c r="FB30" s="207"/>
      <c r="FC30" s="291"/>
      <c r="FD30" s="291"/>
      <c r="FE30" s="291"/>
      <c r="FF30" s="291"/>
      <c r="FG30" s="291"/>
      <c r="FH30" s="291"/>
      <c r="FI30" s="291"/>
      <c r="FJ30" s="291"/>
      <c r="FK30" s="291"/>
      <c r="FL30" s="291"/>
      <c r="FM30" s="291"/>
      <c r="FN30" s="207"/>
      <c r="FO30" s="207"/>
      <c r="FP30" s="291"/>
      <c r="FQ30" s="291"/>
      <c r="FR30" s="291"/>
      <c r="FS30" s="291"/>
      <c r="FT30" s="291"/>
      <c r="FU30" s="291"/>
      <c r="FV30" s="291"/>
      <c r="FW30" s="291"/>
      <c r="FX30" s="291"/>
      <c r="FY30" s="291"/>
      <c r="FZ30" s="291"/>
      <c r="GA30" s="207"/>
      <c r="GB30" s="207"/>
      <c r="GC30" s="291"/>
      <c r="GD30" s="291"/>
      <c r="GE30" s="291"/>
      <c r="GF30" s="291"/>
      <c r="GG30" s="291"/>
      <c r="GH30" s="291"/>
      <c r="GI30" s="291"/>
      <c r="GJ30" s="291"/>
      <c r="GK30" s="291"/>
      <c r="GL30" s="291"/>
      <c r="GM30" s="291"/>
      <c r="GN30" s="207"/>
      <c r="GO30" s="207"/>
      <c r="GP30" s="291"/>
      <c r="GQ30" s="291"/>
      <c r="GR30" s="291"/>
      <c r="GS30" s="291"/>
      <c r="GT30" s="291"/>
      <c r="GU30" s="291"/>
      <c r="GV30" s="291"/>
      <c r="GW30" s="291"/>
      <c r="GX30" s="291"/>
      <c r="GY30" s="291"/>
      <c r="GZ30" s="291"/>
      <c r="HA30" s="207"/>
      <c r="HB30" s="207"/>
      <c r="HC30" s="291"/>
      <c r="HD30" s="291"/>
      <c r="HE30" s="291"/>
      <c r="HF30" s="291"/>
      <c r="HG30" s="291"/>
      <c r="HH30" s="291"/>
      <c r="HI30" s="291"/>
      <c r="HJ30" s="291"/>
      <c r="HK30" s="291"/>
      <c r="HL30" s="291"/>
      <c r="HM30" s="291"/>
      <c r="HN30" s="207"/>
      <c r="HO30" s="207"/>
      <c r="HP30" s="291"/>
      <c r="HQ30" s="291"/>
      <c r="HR30" s="291"/>
      <c r="HS30" s="291"/>
      <c r="HT30" s="291"/>
      <c r="HU30" s="291"/>
      <c r="HV30" s="291"/>
      <c r="HW30" s="291"/>
      <c r="HX30" s="291"/>
      <c r="HY30" s="291"/>
      <c r="HZ30" s="291"/>
      <c r="IA30" s="207"/>
      <c r="IB30" s="207"/>
      <c r="IC30" s="291"/>
      <c r="ID30" s="291"/>
      <c r="IE30" s="291"/>
      <c r="IF30" s="291"/>
      <c r="IG30" s="291"/>
      <c r="IH30" s="291"/>
      <c r="II30" s="291"/>
      <c r="IJ30" s="291"/>
      <c r="IK30" s="291"/>
      <c r="IL30" s="291"/>
      <c r="IM30" s="291"/>
      <c r="IN30" s="207"/>
      <c r="IO30" s="207"/>
      <c r="IP30" s="291"/>
      <c r="IQ30" s="291"/>
      <c r="IR30" s="291"/>
      <c r="IS30" s="291"/>
      <c r="IT30" s="291"/>
      <c r="IU30" s="291"/>
      <c r="IV30" s="291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7"/>
      <c r="AB31" s="207"/>
      <c r="AC31" s="291"/>
      <c r="AD31" s="291"/>
      <c r="AE31" s="291"/>
      <c r="AF31" s="291"/>
      <c r="AG31" s="291"/>
      <c r="AH31" s="291"/>
      <c r="AI31" s="291"/>
      <c r="AJ31" s="291"/>
      <c r="AK31" s="291"/>
      <c r="AL31" s="291"/>
      <c r="AM31" s="291"/>
      <c r="AN31" s="207"/>
      <c r="AO31" s="207"/>
      <c r="AP31" s="291"/>
      <c r="AQ31" s="291"/>
      <c r="AR31" s="291"/>
      <c r="AS31" s="291"/>
      <c r="AT31" s="291"/>
      <c r="AU31" s="291"/>
      <c r="AV31" s="291"/>
      <c r="AW31" s="291"/>
      <c r="AX31" s="291"/>
      <c r="AY31" s="291"/>
      <c r="AZ31" s="291"/>
      <c r="BA31" s="207"/>
      <c r="BB31" s="207"/>
      <c r="BC31" s="291"/>
      <c r="BD31" s="291"/>
      <c r="BE31" s="291"/>
      <c r="BF31" s="291"/>
      <c r="BG31" s="291"/>
      <c r="BH31" s="291"/>
      <c r="BI31" s="291"/>
      <c r="BJ31" s="291"/>
      <c r="BK31" s="291"/>
      <c r="BL31" s="291"/>
      <c r="BM31" s="291"/>
      <c r="BN31" s="207"/>
      <c r="BO31" s="207"/>
      <c r="BP31" s="291"/>
      <c r="BQ31" s="291"/>
      <c r="BR31" s="291"/>
      <c r="BS31" s="291"/>
      <c r="BT31" s="291"/>
      <c r="BU31" s="291"/>
      <c r="BV31" s="291"/>
      <c r="BW31" s="291"/>
      <c r="BX31" s="291"/>
      <c r="BY31" s="291"/>
      <c r="BZ31" s="291"/>
      <c r="CA31" s="207"/>
      <c r="CB31" s="207"/>
      <c r="CC31" s="291"/>
      <c r="CD31" s="291"/>
      <c r="CE31" s="291"/>
      <c r="CF31" s="291"/>
      <c r="CG31" s="291"/>
      <c r="CH31" s="291"/>
      <c r="CI31" s="291"/>
      <c r="CJ31" s="291"/>
      <c r="CK31" s="291"/>
      <c r="CL31" s="291"/>
      <c r="CM31" s="291"/>
      <c r="CN31" s="207"/>
      <c r="CO31" s="207"/>
      <c r="CP31" s="291"/>
      <c r="CQ31" s="291"/>
      <c r="CR31" s="291"/>
      <c r="CS31" s="291"/>
      <c r="CT31" s="291"/>
      <c r="CU31" s="291"/>
      <c r="CV31" s="291"/>
      <c r="CW31" s="291"/>
      <c r="CX31" s="291"/>
      <c r="CY31" s="291"/>
      <c r="CZ31" s="291"/>
      <c r="DA31" s="207"/>
      <c r="DB31" s="207"/>
      <c r="DC31" s="291"/>
      <c r="DD31" s="291"/>
      <c r="DE31" s="291"/>
      <c r="DF31" s="291"/>
      <c r="DG31" s="291"/>
      <c r="DH31" s="291"/>
      <c r="DI31" s="291"/>
      <c r="DJ31" s="291"/>
      <c r="DK31" s="291"/>
      <c r="DL31" s="291"/>
      <c r="DM31" s="291"/>
      <c r="DN31" s="207"/>
      <c r="DO31" s="207"/>
      <c r="DP31" s="291"/>
      <c r="DQ31" s="291"/>
      <c r="DR31" s="291"/>
      <c r="DS31" s="291"/>
      <c r="DT31" s="291"/>
      <c r="DU31" s="291"/>
      <c r="DV31" s="291"/>
      <c r="DW31" s="291"/>
      <c r="DX31" s="291"/>
      <c r="DY31" s="291"/>
      <c r="DZ31" s="291"/>
      <c r="EA31" s="207"/>
      <c r="EB31" s="207"/>
      <c r="EC31" s="291"/>
      <c r="ED31" s="291"/>
      <c r="EE31" s="291"/>
      <c r="EF31" s="291"/>
      <c r="EG31" s="291"/>
      <c r="EH31" s="291"/>
      <c r="EI31" s="291"/>
      <c r="EJ31" s="291"/>
      <c r="EK31" s="291"/>
      <c r="EL31" s="291"/>
      <c r="EM31" s="291"/>
      <c r="EN31" s="207"/>
      <c r="EO31" s="207"/>
      <c r="EP31" s="291"/>
      <c r="EQ31" s="291"/>
      <c r="ER31" s="291"/>
      <c r="ES31" s="291"/>
      <c r="ET31" s="291"/>
      <c r="EU31" s="291"/>
      <c r="EV31" s="291"/>
      <c r="EW31" s="291"/>
      <c r="EX31" s="291"/>
      <c r="EY31" s="291"/>
      <c r="EZ31" s="291"/>
      <c r="FA31" s="207"/>
      <c r="FB31" s="207"/>
      <c r="FC31" s="291"/>
      <c r="FD31" s="291"/>
      <c r="FE31" s="291"/>
      <c r="FF31" s="291"/>
      <c r="FG31" s="291"/>
      <c r="FH31" s="291"/>
      <c r="FI31" s="291"/>
      <c r="FJ31" s="291"/>
      <c r="FK31" s="291"/>
      <c r="FL31" s="291"/>
      <c r="FM31" s="291"/>
      <c r="FN31" s="207"/>
      <c r="FO31" s="207"/>
      <c r="FP31" s="291"/>
      <c r="FQ31" s="291"/>
      <c r="FR31" s="291"/>
      <c r="FS31" s="291"/>
      <c r="FT31" s="291"/>
      <c r="FU31" s="291"/>
      <c r="FV31" s="291"/>
      <c r="FW31" s="291"/>
      <c r="FX31" s="291"/>
      <c r="FY31" s="291"/>
      <c r="FZ31" s="291"/>
      <c r="GA31" s="207"/>
      <c r="GB31" s="207"/>
      <c r="GC31" s="291"/>
      <c r="GD31" s="291"/>
      <c r="GE31" s="291"/>
      <c r="GF31" s="291"/>
      <c r="GG31" s="291"/>
      <c r="GH31" s="291"/>
      <c r="GI31" s="291"/>
      <c r="GJ31" s="291"/>
      <c r="GK31" s="291"/>
      <c r="GL31" s="291"/>
      <c r="GM31" s="291"/>
      <c r="GN31" s="207"/>
      <c r="GO31" s="207"/>
      <c r="GP31" s="291"/>
      <c r="GQ31" s="291"/>
      <c r="GR31" s="291"/>
      <c r="GS31" s="291"/>
      <c r="GT31" s="291"/>
      <c r="GU31" s="291"/>
      <c r="GV31" s="291"/>
      <c r="GW31" s="291"/>
      <c r="GX31" s="291"/>
      <c r="GY31" s="291"/>
      <c r="GZ31" s="291"/>
      <c r="HA31" s="207"/>
      <c r="HB31" s="207"/>
      <c r="HC31" s="291"/>
      <c r="HD31" s="291"/>
      <c r="HE31" s="291"/>
      <c r="HF31" s="291"/>
      <c r="HG31" s="291"/>
      <c r="HH31" s="291"/>
      <c r="HI31" s="291"/>
      <c r="HJ31" s="291"/>
      <c r="HK31" s="291"/>
      <c r="HL31" s="291"/>
      <c r="HM31" s="291"/>
      <c r="HN31" s="207"/>
      <c r="HO31" s="207"/>
      <c r="HP31" s="291"/>
      <c r="HQ31" s="291"/>
      <c r="HR31" s="291"/>
      <c r="HS31" s="291"/>
      <c r="HT31" s="291"/>
      <c r="HU31" s="291"/>
      <c r="HV31" s="291"/>
      <c r="HW31" s="291"/>
      <c r="HX31" s="291"/>
      <c r="HY31" s="291"/>
      <c r="HZ31" s="291"/>
      <c r="IA31" s="207"/>
      <c r="IB31" s="207"/>
      <c r="IC31" s="291"/>
      <c r="ID31" s="291"/>
      <c r="IE31" s="291"/>
      <c r="IF31" s="291"/>
      <c r="IG31" s="291"/>
      <c r="IH31" s="291"/>
      <c r="II31" s="291"/>
      <c r="IJ31" s="291"/>
      <c r="IK31" s="291"/>
      <c r="IL31" s="291"/>
      <c r="IM31" s="291"/>
      <c r="IN31" s="207"/>
      <c r="IO31" s="207"/>
      <c r="IP31" s="291"/>
      <c r="IQ31" s="291"/>
      <c r="IR31" s="291"/>
      <c r="IS31" s="291"/>
      <c r="IT31" s="291"/>
      <c r="IU31" s="291"/>
      <c r="IV31" s="291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7"/>
      <c r="AB38" s="207"/>
      <c r="AC38" s="291"/>
      <c r="AD38" s="291"/>
      <c r="AE38" s="291"/>
      <c r="AF38" s="291"/>
      <c r="AG38" s="291"/>
      <c r="AH38" s="291"/>
      <c r="AI38" s="291"/>
      <c r="AJ38" s="291"/>
      <c r="AK38" s="291"/>
      <c r="AL38" s="291"/>
      <c r="AM38" s="291"/>
      <c r="AN38" s="207"/>
      <c r="AO38" s="207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07"/>
      <c r="BB38" s="207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07"/>
      <c r="BO38" s="207"/>
      <c r="BP38" s="291"/>
      <c r="BQ38" s="291"/>
      <c r="BR38" s="291"/>
      <c r="BS38" s="291"/>
      <c r="BT38" s="291"/>
      <c r="BU38" s="291"/>
      <c r="BV38" s="291"/>
      <c r="BW38" s="291"/>
      <c r="BX38" s="291"/>
      <c r="BY38" s="291"/>
      <c r="BZ38" s="291"/>
      <c r="CA38" s="207"/>
      <c r="CB38" s="207"/>
      <c r="CC38" s="291"/>
      <c r="CD38" s="291"/>
      <c r="CE38" s="291"/>
      <c r="CF38" s="291"/>
      <c r="CG38" s="291"/>
      <c r="CH38" s="291"/>
      <c r="CI38" s="291"/>
      <c r="CJ38" s="291"/>
      <c r="CK38" s="291"/>
      <c r="CL38" s="291"/>
      <c r="CM38" s="291"/>
      <c r="CN38" s="207"/>
      <c r="CO38" s="207"/>
      <c r="CP38" s="291"/>
      <c r="CQ38" s="291"/>
      <c r="CR38" s="291"/>
      <c r="CS38" s="291"/>
      <c r="CT38" s="291"/>
      <c r="CU38" s="291"/>
      <c r="CV38" s="291"/>
      <c r="CW38" s="291"/>
      <c r="CX38" s="291"/>
      <c r="CY38" s="291"/>
      <c r="CZ38" s="291"/>
      <c r="DA38" s="207"/>
      <c r="DB38" s="207"/>
      <c r="DC38" s="291"/>
      <c r="DD38" s="291"/>
      <c r="DE38" s="291"/>
      <c r="DF38" s="291"/>
      <c r="DG38" s="291"/>
      <c r="DH38" s="291"/>
      <c r="DI38" s="291"/>
      <c r="DJ38" s="291"/>
      <c r="DK38" s="291"/>
      <c r="DL38" s="291"/>
      <c r="DM38" s="291"/>
      <c r="DN38" s="207"/>
      <c r="DO38" s="207"/>
      <c r="DP38" s="291"/>
      <c r="DQ38" s="291"/>
      <c r="DR38" s="291"/>
      <c r="DS38" s="291"/>
      <c r="DT38" s="291"/>
      <c r="DU38" s="291"/>
      <c r="DV38" s="291"/>
      <c r="DW38" s="291"/>
      <c r="DX38" s="291"/>
      <c r="DY38" s="291"/>
      <c r="DZ38" s="291"/>
      <c r="EA38" s="207"/>
      <c r="EB38" s="207"/>
      <c r="EC38" s="291"/>
      <c r="ED38" s="291"/>
      <c r="EE38" s="291"/>
      <c r="EF38" s="291"/>
      <c r="EG38" s="291"/>
      <c r="EH38" s="291"/>
      <c r="EI38" s="291"/>
      <c r="EJ38" s="291"/>
      <c r="EK38" s="291"/>
      <c r="EL38" s="291"/>
      <c r="EM38" s="291"/>
      <c r="EN38" s="207"/>
      <c r="EO38" s="207"/>
      <c r="EP38" s="291"/>
      <c r="EQ38" s="291"/>
      <c r="ER38" s="291"/>
      <c r="ES38" s="291"/>
      <c r="ET38" s="291"/>
      <c r="EU38" s="291"/>
      <c r="EV38" s="291"/>
      <c r="EW38" s="291"/>
      <c r="EX38" s="291"/>
      <c r="EY38" s="291"/>
      <c r="EZ38" s="291"/>
      <c r="FA38" s="207"/>
      <c r="FB38" s="207"/>
      <c r="FC38" s="291"/>
      <c r="FD38" s="291"/>
      <c r="FE38" s="291"/>
      <c r="FF38" s="291"/>
      <c r="FG38" s="291"/>
      <c r="FH38" s="291"/>
      <c r="FI38" s="291"/>
      <c r="FJ38" s="291"/>
      <c r="FK38" s="291"/>
      <c r="FL38" s="291"/>
      <c r="FM38" s="291"/>
      <c r="FN38" s="207"/>
      <c r="FO38" s="207"/>
      <c r="FP38" s="291"/>
      <c r="FQ38" s="291"/>
      <c r="FR38" s="291"/>
      <c r="FS38" s="291"/>
      <c r="FT38" s="291"/>
      <c r="FU38" s="291"/>
      <c r="FV38" s="291"/>
      <c r="FW38" s="291"/>
      <c r="FX38" s="291"/>
      <c r="FY38" s="291"/>
      <c r="FZ38" s="291"/>
      <c r="GA38" s="207"/>
      <c r="GB38" s="207"/>
      <c r="GC38" s="291"/>
      <c r="GD38" s="291"/>
      <c r="GE38" s="291"/>
      <c r="GF38" s="291"/>
      <c r="GG38" s="291"/>
      <c r="GH38" s="291"/>
      <c r="GI38" s="291"/>
      <c r="GJ38" s="291"/>
      <c r="GK38" s="291"/>
      <c r="GL38" s="291"/>
      <c r="GM38" s="291"/>
      <c r="GN38" s="207"/>
      <c r="GO38" s="207"/>
      <c r="GP38" s="291"/>
      <c r="GQ38" s="291"/>
      <c r="GR38" s="291"/>
      <c r="GS38" s="291"/>
      <c r="GT38" s="291"/>
      <c r="GU38" s="291"/>
      <c r="GV38" s="291"/>
      <c r="GW38" s="291"/>
      <c r="GX38" s="291"/>
      <c r="GY38" s="291"/>
      <c r="GZ38" s="291"/>
      <c r="HA38" s="207"/>
      <c r="HB38" s="207"/>
      <c r="HC38" s="291"/>
      <c r="HD38" s="291"/>
      <c r="HE38" s="291"/>
      <c r="HF38" s="291"/>
      <c r="HG38" s="291"/>
      <c r="HH38" s="291"/>
      <c r="HI38" s="291"/>
      <c r="HJ38" s="291"/>
      <c r="HK38" s="291"/>
      <c r="HL38" s="291"/>
      <c r="HM38" s="291"/>
      <c r="HN38" s="207"/>
      <c r="HO38" s="207"/>
      <c r="HP38" s="291"/>
      <c r="HQ38" s="291"/>
      <c r="HR38" s="291"/>
      <c r="HS38" s="291"/>
      <c r="HT38" s="291"/>
      <c r="HU38" s="291"/>
      <c r="HV38" s="291"/>
      <c r="HW38" s="291"/>
      <c r="HX38" s="291"/>
      <c r="HY38" s="291"/>
      <c r="HZ38" s="291"/>
      <c r="IA38" s="207"/>
      <c r="IB38" s="207"/>
      <c r="IC38" s="291"/>
      <c r="ID38" s="291"/>
      <c r="IE38" s="291"/>
      <c r="IF38" s="291"/>
      <c r="IG38" s="291"/>
      <c r="IH38" s="291"/>
      <c r="II38" s="291"/>
      <c r="IJ38" s="291"/>
      <c r="IK38" s="291"/>
      <c r="IL38" s="291"/>
      <c r="IM38" s="291"/>
      <c r="IN38" s="207"/>
      <c r="IO38" s="207"/>
      <c r="IP38" s="291"/>
      <c r="IQ38" s="291"/>
      <c r="IR38" s="291"/>
      <c r="IS38" s="291"/>
      <c r="IT38" s="291"/>
      <c r="IU38" s="291"/>
      <c r="IV38" s="291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7"/>
      <c r="AB39" s="207"/>
      <c r="AC39" s="291"/>
      <c r="AD39" s="291"/>
      <c r="AE39" s="291"/>
      <c r="AF39" s="291"/>
      <c r="AG39" s="291"/>
      <c r="AH39" s="291"/>
      <c r="AI39" s="291"/>
      <c r="AJ39" s="291"/>
      <c r="AK39" s="291"/>
      <c r="AL39" s="291"/>
      <c r="AM39" s="291"/>
      <c r="AN39" s="207"/>
      <c r="AO39" s="207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07"/>
      <c r="BB39" s="207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07"/>
      <c r="BO39" s="207"/>
      <c r="BP39" s="291"/>
      <c r="BQ39" s="291"/>
      <c r="BR39" s="291"/>
      <c r="BS39" s="291"/>
      <c r="BT39" s="291"/>
      <c r="BU39" s="291"/>
      <c r="BV39" s="291"/>
      <c r="BW39" s="291"/>
      <c r="BX39" s="291"/>
      <c r="BY39" s="291"/>
      <c r="BZ39" s="291"/>
      <c r="CA39" s="207"/>
      <c r="CB39" s="207"/>
      <c r="CC39" s="291"/>
      <c r="CD39" s="291"/>
      <c r="CE39" s="291"/>
      <c r="CF39" s="291"/>
      <c r="CG39" s="291"/>
      <c r="CH39" s="291"/>
      <c r="CI39" s="291"/>
      <c r="CJ39" s="291"/>
      <c r="CK39" s="291"/>
      <c r="CL39" s="291"/>
      <c r="CM39" s="291"/>
      <c r="CN39" s="207"/>
      <c r="CO39" s="207"/>
      <c r="CP39" s="291"/>
      <c r="CQ39" s="291"/>
      <c r="CR39" s="291"/>
      <c r="CS39" s="291"/>
      <c r="CT39" s="291"/>
      <c r="CU39" s="291"/>
      <c r="CV39" s="291"/>
      <c r="CW39" s="291"/>
      <c r="CX39" s="291"/>
      <c r="CY39" s="291"/>
      <c r="CZ39" s="291"/>
      <c r="DA39" s="207"/>
      <c r="DB39" s="207"/>
      <c r="DC39" s="291"/>
      <c r="DD39" s="291"/>
      <c r="DE39" s="291"/>
      <c r="DF39" s="291"/>
      <c r="DG39" s="291"/>
      <c r="DH39" s="291"/>
      <c r="DI39" s="291"/>
      <c r="DJ39" s="291"/>
      <c r="DK39" s="291"/>
      <c r="DL39" s="291"/>
      <c r="DM39" s="291"/>
      <c r="DN39" s="207"/>
      <c r="DO39" s="207"/>
      <c r="DP39" s="291"/>
      <c r="DQ39" s="291"/>
      <c r="DR39" s="291"/>
      <c r="DS39" s="291"/>
      <c r="DT39" s="291"/>
      <c r="DU39" s="291"/>
      <c r="DV39" s="291"/>
      <c r="DW39" s="291"/>
      <c r="DX39" s="291"/>
      <c r="DY39" s="291"/>
      <c r="DZ39" s="291"/>
      <c r="EA39" s="207"/>
      <c r="EB39" s="207"/>
      <c r="EC39" s="291"/>
      <c r="ED39" s="291"/>
      <c r="EE39" s="291"/>
      <c r="EF39" s="291"/>
      <c r="EG39" s="291"/>
      <c r="EH39" s="291"/>
      <c r="EI39" s="291"/>
      <c r="EJ39" s="291"/>
      <c r="EK39" s="291"/>
      <c r="EL39" s="291"/>
      <c r="EM39" s="291"/>
      <c r="EN39" s="207"/>
      <c r="EO39" s="207"/>
      <c r="EP39" s="291"/>
      <c r="EQ39" s="291"/>
      <c r="ER39" s="291"/>
      <c r="ES39" s="291"/>
      <c r="ET39" s="291"/>
      <c r="EU39" s="291"/>
      <c r="EV39" s="291"/>
      <c r="EW39" s="291"/>
      <c r="EX39" s="291"/>
      <c r="EY39" s="291"/>
      <c r="EZ39" s="291"/>
      <c r="FA39" s="207"/>
      <c r="FB39" s="207"/>
      <c r="FC39" s="291"/>
      <c r="FD39" s="291"/>
      <c r="FE39" s="291"/>
      <c r="FF39" s="291"/>
      <c r="FG39" s="291"/>
      <c r="FH39" s="291"/>
      <c r="FI39" s="291"/>
      <c r="FJ39" s="291"/>
      <c r="FK39" s="291"/>
      <c r="FL39" s="291"/>
      <c r="FM39" s="291"/>
      <c r="FN39" s="207"/>
      <c r="FO39" s="207"/>
      <c r="FP39" s="291"/>
      <c r="FQ39" s="291"/>
      <c r="FR39" s="291"/>
      <c r="FS39" s="291"/>
      <c r="FT39" s="291"/>
      <c r="FU39" s="291"/>
      <c r="FV39" s="291"/>
      <c r="FW39" s="291"/>
      <c r="FX39" s="291"/>
      <c r="FY39" s="291"/>
      <c r="FZ39" s="291"/>
      <c r="GA39" s="207"/>
      <c r="GB39" s="207"/>
      <c r="GC39" s="291"/>
      <c r="GD39" s="291"/>
      <c r="GE39" s="291"/>
      <c r="GF39" s="291"/>
      <c r="GG39" s="291"/>
      <c r="GH39" s="291"/>
      <c r="GI39" s="291"/>
      <c r="GJ39" s="291"/>
      <c r="GK39" s="291"/>
      <c r="GL39" s="291"/>
      <c r="GM39" s="291"/>
      <c r="GN39" s="207"/>
      <c r="GO39" s="207"/>
      <c r="GP39" s="291"/>
      <c r="GQ39" s="291"/>
      <c r="GR39" s="291"/>
      <c r="GS39" s="291"/>
      <c r="GT39" s="291"/>
      <c r="GU39" s="291"/>
      <c r="GV39" s="291"/>
      <c r="GW39" s="291"/>
      <c r="GX39" s="291"/>
      <c r="GY39" s="291"/>
      <c r="GZ39" s="291"/>
      <c r="HA39" s="207"/>
      <c r="HB39" s="207"/>
      <c r="HC39" s="291"/>
      <c r="HD39" s="291"/>
      <c r="HE39" s="291"/>
      <c r="HF39" s="291"/>
      <c r="HG39" s="291"/>
      <c r="HH39" s="291"/>
      <c r="HI39" s="291"/>
      <c r="HJ39" s="291"/>
      <c r="HK39" s="291"/>
      <c r="HL39" s="291"/>
      <c r="HM39" s="291"/>
      <c r="HN39" s="207"/>
      <c r="HO39" s="207"/>
      <c r="HP39" s="291"/>
      <c r="HQ39" s="291"/>
      <c r="HR39" s="291"/>
      <c r="HS39" s="291"/>
      <c r="HT39" s="291"/>
      <c r="HU39" s="291"/>
      <c r="HV39" s="291"/>
      <c r="HW39" s="291"/>
      <c r="HX39" s="291"/>
      <c r="HY39" s="291"/>
      <c r="HZ39" s="291"/>
      <c r="IA39" s="207"/>
      <c r="IB39" s="207"/>
      <c r="IC39" s="291"/>
      <c r="ID39" s="291"/>
      <c r="IE39" s="291"/>
      <c r="IF39" s="291"/>
      <c r="IG39" s="291"/>
      <c r="IH39" s="291"/>
      <c r="II39" s="291"/>
      <c r="IJ39" s="291"/>
      <c r="IK39" s="291"/>
      <c r="IL39" s="291"/>
      <c r="IM39" s="291"/>
      <c r="IN39" s="207"/>
      <c r="IO39" s="207"/>
      <c r="IP39" s="291"/>
      <c r="IQ39" s="291"/>
      <c r="IR39" s="291"/>
      <c r="IS39" s="291"/>
      <c r="IT39" s="291"/>
      <c r="IU39" s="291"/>
      <c r="IV39" s="291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7"/>
      <c r="AB40" s="207"/>
      <c r="AC40" s="291"/>
      <c r="AD40" s="291"/>
      <c r="AE40" s="291"/>
      <c r="AF40" s="291"/>
      <c r="AG40" s="291"/>
      <c r="AH40" s="291"/>
      <c r="AI40" s="291"/>
      <c r="AJ40" s="291"/>
      <c r="AK40" s="291"/>
      <c r="AL40" s="291"/>
      <c r="AM40" s="291"/>
      <c r="AN40" s="207"/>
      <c r="AO40" s="207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07"/>
      <c r="BB40" s="207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07"/>
      <c r="BO40" s="207"/>
      <c r="BP40" s="291"/>
      <c r="BQ40" s="291"/>
      <c r="BR40" s="291"/>
      <c r="BS40" s="291"/>
      <c r="BT40" s="291"/>
      <c r="BU40" s="291"/>
      <c r="BV40" s="291"/>
      <c r="BW40" s="291"/>
      <c r="BX40" s="291"/>
      <c r="BY40" s="291"/>
      <c r="BZ40" s="291"/>
      <c r="CA40" s="207"/>
      <c r="CB40" s="207"/>
      <c r="CC40" s="291"/>
      <c r="CD40" s="291"/>
      <c r="CE40" s="291"/>
      <c r="CF40" s="291"/>
      <c r="CG40" s="291"/>
      <c r="CH40" s="291"/>
      <c r="CI40" s="291"/>
      <c r="CJ40" s="291"/>
      <c r="CK40" s="291"/>
      <c r="CL40" s="291"/>
      <c r="CM40" s="291"/>
      <c r="CN40" s="207"/>
      <c r="CO40" s="207"/>
      <c r="CP40" s="291"/>
      <c r="CQ40" s="291"/>
      <c r="CR40" s="291"/>
      <c r="CS40" s="291"/>
      <c r="CT40" s="291"/>
      <c r="CU40" s="291"/>
      <c r="CV40" s="291"/>
      <c r="CW40" s="291"/>
      <c r="CX40" s="291"/>
      <c r="CY40" s="291"/>
      <c r="CZ40" s="291"/>
      <c r="DA40" s="207"/>
      <c r="DB40" s="207"/>
      <c r="DC40" s="291"/>
      <c r="DD40" s="291"/>
      <c r="DE40" s="291"/>
      <c r="DF40" s="291"/>
      <c r="DG40" s="291"/>
      <c r="DH40" s="291"/>
      <c r="DI40" s="291"/>
      <c r="DJ40" s="291"/>
      <c r="DK40" s="291"/>
      <c r="DL40" s="291"/>
      <c r="DM40" s="291"/>
      <c r="DN40" s="207"/>
      <c r="DO40" s="207"/>
      <c r="DP40" s="291"/>
      <c r="DQ40" s="291"/>
      <c r="DR40" s="291"/>
      <c r="DS40" s="291"/>
      <c r="DT40" s="291"/>
      <c r="DU40" s="291"/>
      <c r="DV40" s="291"/>
      <c r="DW40" s="291"/>
      <c r="DX40" s="291"/>
      <c r="DY40" s="291"/>
      <c r="DZ40" s="291"/>
      <c r="EA40" s="207"/>
      <c r="EB40" s="207"/>
      <c r="EC40" s="291"/>
      <c r="ED40" s="291"/>
      <c r="EE40" s="291"/>
      <c r="EF40" s="291"/>
      <c r="EG40" s="291"/>
      <c r="EH40" s="291"/>
      <c r="EI40" s="291"/>
      <c r="EJ40" s="291"/>
      <c r="EK40" s="291"/>
      <c r="EL40" s="291"/>
      <c r="EM40" s="291"/>
      <c r="EN40" s="207"/>
      <c r="EO40" s="207"/>
      <c r="EP40" s="291"/>
      <c r="EQ40" s="291"/>
      <c r="ER40" s="291"/>
      <c r="ES40" s="291"/>
      <c r="ET40" s="291"/>
      <c r="EU40" s="291"/>
      <c r="EV40" s="291"/>
      <c r="EW40" s="291"/>
      <c r="EX40" s="291"/>
      <c r="EY40" s="291"/>
      <c r="EZ40" s="291"/>
      <c r="FA40" s="207"/>
      <c r="FB40" s="207"/>
      <c r="FC40" s="291"/>
      <c r="FD40" s="291"/>
      <c r="FE40" s="291"/>
      <c r="FF40" s="291"/>
      <c r="FG40" s="291"/>
      <c r="FH40" s="291"/>
      <c r="FI40" s="291"/>
      <c r="FJ40" s="291"/>
      <c r="FK40" s="291"/>
      <c r="FL40" s="291"/>
      <c r="FM40" s="291"/>
      <c r="FN40" s="207"/>
      <c r="FO40" s="207"/>
      <c r="FP40" s="291"/>
      <c r="FQ40" s="291"/>
      <c r="FR40" s="291"/>
      <c r="FS40" s="291"/>
      <c r="FT40" s="291"/>
      <c r="FU40" s="291"/>
      <c r="FV40" s="291"/>
      <c r="FW40" s="291"/>
      <c r="FX40" s="291"/>
      <c r="FY40" s="291"/>
      <c r="FZ40" s="291"/>
      <c r="GA40" s="207"/>
      <c r="GB40" s="207"/>
      <c r="GC40" s="291"/>
      <c r="GD40" s="291"/>
      <c r="GE40" s="291"/>
      <c r="GF40" s="291"/>
      <c r="GG40" s="291"/>
      <c r="GH40" s="291"/>
      <c r="GI40" s="291"/>
      <c r="GJ40" s="291"/>
      <c r="GK40" s="291"/>
      <c r="GL40" s="291"/>
      <c r="GM40" s="291"/>
      <c r="GN40" s="207"/>
      <c r="GO40" s="207"/>
      <c r="GP40" s="291"/>
      <c r="GQ40" s="291"/>
      <c r="GR40" s="291"/>
      <c r="GS40" s="291"/>
      <c r="GT40" s="291"/>
      <c r="GU40" s="291"/>
      <c r="GV40" s="291"/>
      <c r="GW40" s="291"/>
      <c r="GX40" s="291"/>
      <c r="GY40" s="291"/>
      <c r="GZ40" s="291"/>
      <c r="HA40" s="207"/>
      <c r="HB40" s="207"/>
      <c r="HC40" s="291"/>
      <c r="HD40" s="291"/>
      <c r="HE40" s="291"/>
      <c r="HF40" s="291"/>
      <c r="HG40" s="291"/>
      <c r="HH40" s="291"/>
      <c r="HI40" s="291"/>
      <c r="HJ40" s="291"/>
      <c r="HK40" s="291"/>
      <c r="HL40" s="291"/>
      <c r="HM40" s="291"/>
      <c r="HN40" s="207"/>
      <c r="HO40" s="207"/>
      <c r="HP40" s="291"/>
      <c r="HQ40" s="291"/>
      <c r="HR40" s="291"/>
      <c r="HS40" s="291"/>
      <c r="HT40" s="291"/>
      <c r="HU40" s="291"/>
      <c r="HV40" s="291"/>
      <c r="HW40" s="291"/>
      <c r="HX40" s="291"/>
      <c r="HY40" s="291"/>
      <c r="HZ40" s="291"/>
      <c r="IA40" s="207"/>
      <c r="IB40" s="207"/>
      <c r="IC40" s="291"/>
      <c r="ID40" s="291"/>
      <c r="IE40" s="291"/>
      <c r="IF40" s="291"/>
      <c r="IG40" s="291"/>
      <c r="IH40" s="291"/>
      <c r="II40" s="291"/>
      <c r="IJ40" s="291"/>
      <c r="IK40" s="291"/>
      <c r="IL40" s="291"/>
      <c r="IM40" s="291"/>
      <c r="IN40" s="207"/>
      <c r="IO40" s="207"/>
      <c r="IP40" s="291"/>
      <c r="IQ40" s="291"/>
      <c r="IR40" s="291"/>
      <c r="IS40" s="291"/>
      <c r="IT40" s="291"/>
      <c r="IU40" s="291"/>
      <c r="IV40" s="291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0" t="s">
        <v>848</v>
      </c>
      <c r="B72" s="290"/>
      <c r="C72" s="290"/>
      <c r="D72" s="290"/>
      <c r="E72" s="29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</row>
    <row r="74" spans="1:13" x14ac:dyDescent="0.2">
      <c r="A74" s="211"/>
      <c r="B74" s="211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</row>
    <row r="75" spans="1:13" x14ac:dyDescent="0.2">
      <c r="A75" s="211"/>
      <c r="B75" s="211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</row>
    <row r="76" spans="1:13" x14ac:dyDescent="0.2">
      <c r="A76" s="211"/>
      <c r="B76" s="211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</row>
    <row r="77" spans="1:13" x14ac:dyDescent="0.2">
      <c r="A77" s="211"/>
      <c r="B77" s="211"/>
      <c r="C77" s="285"/>
      <c r="D77" s="285"/>
      <c r="E77" s="285"/>
      <c r="F77" s="285"/>
      <c r="G77" s="285"/>
      <c r="H77" s="285"/>
      <c r="I77" s="285"/>
      <c r="J77" s="285"/>
      <c r="K77" s="285"/>
      <c r="L77" s="285"/>
      <c r="M77" s="285"/>
    </row>
    <row r="78" spans="1:13" x14ac:dyDescent="0.2">
      <c r="A78" s="211"/>
      <c r="B78" s="211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</row>
    <row r="79" spans="1:13" x14ac:dyDescent="0.2">
      <c r="A79" s="211"/>
      <c r="B79" s="211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</row>
    <row r="80" spans="1:13" x14ac:dyDescent="0.2">
      <c r="A80" s="211"/>
      <c r="B80" s="211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</row>
    <row r="81" spans="1:13" x14ac:dyDescent="0.2">
      <c r="A81" s="211"/>
      <c r="B81" s="211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</row>
    <row r="82" spans="1:13" x14ac:dyDescent="0.2">
      <c r="A82" s="211"/>
      <c r="B82" s="211"/>
      <c r="C82" s="285"/>
      <c r="D82" s="285"/>
      <c r="E82" s="285"/>
      <c r="F82" s="285"/>
      <c r="G82" s="285"/>
      <c r="H82" s="285"/>
      <c r="I82" s="285"/>
      <c r="J82" s="285"/>
      <c r="K82" s="285"/>
      <c r="L82" s="285"/>
      <c r="M82" s="285"/>
    </row>
    <row r="83" spans="1:13" x14ac:dyDescent="0.2">
      <c r="A83" s="211"/>
      <c r="B83" s="211"/>
      <c r="C83" s="285"/>
      <c r="D83" s="285"/>
      <c r="E83" s="285"/>
      <c r="F83" s="285"/>
      <c r="G83" s="285"/>
      <c r="H83" s="285"/>
      <c r="I83" s="285"/>
      <c r="J83" s="285"/>
      <c r="K83" s="285"/>
      <c r="L83" s="285"/>
      <c r="M83" s="285"/>
    </row>
    <row r="84" spans="1:13" x14ac:dyDescent="0.2">
      <c r="A84" s="211"/>
      <c r="B84" s="211"/>
      <c r="C84" s="285"/>
      <c r="D84" s="285"/>
      <c r="E84" s="285"/>
      <c r="F84" s="285"/>
      <c r="G84" s="285"/>
      <c r="H84" s="285"/>
      <c r="I84" s="285"/>
      <c r="J84" s="285"/>
      <c r="K84" s="285"/>
      <c r="L84" s="285"/>
      <c r="M84" s="285"/>
    </row>
    <row r="85" spans="1:13" x14ac:dyDescent="0.2">
      <c r="A85" s="211"/>
      <c r="B85" s="211"/>
      <c r="C85" s="285"/>
      <c r="D85" s="285"/>
      <c r="E85" s="285"/>
      <c r="F85" s="285"/>
      <c r="G85" s="285"/>
      <c r="H85" s="285"/>
      <c r="I85" s="285"/>
      <c r="J85" s="285"/>
      <c r="K85" s="285"/>
      <c r="L85" s="285"/>
      <c r="M85" s="285"/>
    </row>
    <row r="86" spans="1:13" x14ac:dyDescent="0.2">
      <c r="A86" s="211"/>
      <c r="B86" s="211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</row>
    <row r="87" spans="1:13" x14ac:dyDescent="0.2">
      <c r="A87" s="211"/>
      <c r="B87" s="211"/>
      <c r="C87" s="285"/>
      <c r="D87" s="285"/>
      <c r="E87" s="285"/>
      <c r="F87" s="285"/>
      <c r="G87" s="285"/>
      <c r="H87" s="285"/>
      <c r="I87" s="285"/>
      <c r="J87" s="285"/>
      <c r="K87" s="285"/>
      <c r="L87" s="285"/>
      <c r="M87" s="285"/>
    </row>
    <row r="88" spans="1:13" x14ac:dyDescent="0.2">
      <c r="A88" s="211"/>
      <c r="B88" s="211"/>
      <c r="C88" s="285"/>
      <c r="D88" s="285"/>
      <c r="E88" s="285"/>
      <c r="F88" s="285"/>
      <c r="G88" s="285"/>
      <c r="H88" s="285"/>
      <c r="I88" s="285"/>
      <c r="J88" s="285"/>
      <c r="K88" s="285"/>
      <c r="L88" s="285"/>
      <c r="M88" s="285"/>
    </row>
    <row r="89" spans="1:13" x14ac:dyDescent="0.2">
      <c r="A89" s="211"/>
      <c r="B89" s="211"/>
      <c r="C89" s="285"/>
      <c r="D89" s="285"/>
      <c r="E89" s="285"/>
      <c r="F89" s="285"/>
      <c r="G89" s="285"/>
      <c r="H89" s="285"/>
      <c r="I89" s="285"/>
      <c r="J89" s="285"/>
      <c r="K89" s="285"/>
      <c r="L89" s="285"/>
      <c r="M89" s="285"/>
    </row>
    <row r="90" spans="1:13" x14ac:dyDescent="0.2">
      <c r="A90" s="211"/>
      <c r="B90" s="211"/>
      <c r="C90" s="285"/>
      <c r="D90" s="285"/>
      <c r="E90" s="285"/>
      <c r="F90" s="285"/>
      <c r="G90" s="285"/>
      <c r="H90" s="285"/>
      <c r="I90" s="285"/>
      <c r="J90" s="285"/>
      <c r="K90" s="285"/>
      <c r="L90" s="285"/>
      <c r="M90" s="285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2013-08-09T20:18:17Z</cp:lastPrinted>
  <dcterms:created xsi:type="dcterms:W3CDTF">1997-12-04T19:04:30Z</dcterms:created>
  <dcterms:modified xsi:type="dcterms:W3CDTF">2013-12-05T18:51:22Z</dcterms:modified>
</cp:coreProperties>
</file>