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664" i="1" l="1"/>
  <c r="H583" i="1" l="1"/>
  <c r="G157" i="1"/>
  <c r="F82" i="1" l="1"/>
  <c r="H467" i="1" l="1"/>
  <c r="H295" i="1"/>
  <c r="H154" i="1"/>
  <c r="H153" i="1"/>
  <c r="H145" i="1"/>
  <c r="H119" i="1"/>
  <c r="H22" i="1"/>
  <c r="H13" i="1"/>
  <c r="I47" i="1"/>
  <c r="G12" i="1"/>
  <c r="G22" i="1"/>
  <c r="G14" i="1"/>
  <c r="J467" i="1"/>
  <c r="F501" i="1"/>
  <c r="F498" i="1"/>
  <c r="F468" i="1"/>
  <c r="K522" i="1" l="1"/>
  <c r="K521" i="1"/>
  <c r="K520" i="1"/>
  <c r="J522" i="1"/>
  <c r="J521" i="1"/>
  <c r="J520" i="1"/>
  <c r="I522" i="1"/>
  <c r="I521" i="1"/>
  <c r="I520" i="1"/>
  <c r="H521" i="1"/>
  <c r="G522" i="1"/>
  <c r="F522" i="1"/>
  <c r="F521" i="1"/>
  <c r="F520" i="1"/>
  <c r="F77" i="1"/>
  <c r="F62" i="1"/>
  <c r="F12" i="1"/>
  <c r="F49" i="1"/>
  <c r="F24" i="1"/>
  <c r="F22" i="1"/>
  <c r="F14" i="1"/>
  <c r="H522" i="1"/>
  <c r="H520" i="1"/>
  <c r="G521" i="1" l="1"/>
  <c r="C37" i="10"/>
  <c r="L238" i="1" l="1"/>
  <c r="L244" i="1"/>
  <c r="L260" i="1"/>
  <c r="C131" i="2" s="1"/>
  <c r="L206" i="1"/>
  <c r="L199" i="1"/>
  <c r="L202" i="1"/>
  <c r="L198" i="1"/>
  <c r="L207" i="1"/>
  <c r="L204" i="1"/>
  <c r="L203" i="1"/>
  <c r="L208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D49" i="2" s="1"/>
  <c r="C36" i="2"/>
  <c r="C49" i="2" s="1"/>
  <c r="I454" i="1"/>
  <c r="J45" i="1" s="1"/>
  <c r="G44" i="2" s="1"/>
  <c r="I457" i="1"/>
  <c r="J39" i="1" s="1"/>
  <c r="G38" i="2" s="1"/>
  <c r="C67" i="2"/>
  <c r="B2" i="13"/>
  <c r="F8" i="13"/>
  <c r="G8" i="13"/>
  <c r="L221" i="1"/>
  <c r="L239" i="1"/>
  <c r="D39" i="13"/>
  <c r="F13" i="13"/>
  <c r="G13" i="13"/>
  <c r="L205" i="1"/>
  <c r="L223" i="1"/>
  <c r="L241" i="1"/>
  <c r="F16" i="13"/>
  <c r="G16" i="13"/>
  <c r="L226" i="1"/>
  <c r="F5" i="13"/>
  <c r="G5" i="13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20" i="1"/>
  <c r="F12" i="13"/>
  <c r="G12" i="13"/>
  <c r="L222" i="1"/>
  <c r="L240" i="1"/>
  <c r="F14" i="13"/>
  <c r="G14" i="13"/>
  <c r="L224" i="1"/>
  <c r="L242" i="1"/>
  <c r="F15" i="13"/>
  <c r="G15" i="13"/>
  <c r="L225" i="1"/>
  <c r="L243" i="1"/>
  <c r="G650" i="1" s="1"/>
  <c r="F17" i="13"/>
  <c r="G17" i="13"/>
  <c r="L250" i="1"/>
  <c r="D17" i="13" s="1"/>
  <c r="C17" i="13" s="1"/>
  <c r="F18" i="13"/>
  <c r="G18" i="13"/>
  <c r="L251" i="1"/>
  <c r="F19" i="13"/>
  <c r="G19" i="13"/>
  <c r="L252" i="1"/>
  <c r="D19" i="13" s="1"/>
  <c r="C19" i="13" s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E109" i="2" s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C130" i="2" s="1"/>
  <c r="L340" i="1"/>
  <c r="L341" i="1"/>
  <c r="L254" i="1"/>
  <c r="L335" i="1"/>
  <c r="E129" i="2" s="1"/>
  <c r="C11" i="13"/>
  <c r="C10" i="13"/>
  <c r="C9" i="13"/>
  <c r="L360" i="1"/>
  <c r="B4" i="12"/>
  <c r="B36" i="12"/>
  <c r="B40" i="12"/>
  <c r="C40" i="12"/>
  <c r="B27" i="12"/>
  <c r="B31" i="12"/>
  <c r="B9" i="12"/>
  <c r="B13" i="12"/>
  <c r="C13" i="12"/>
  <c r="B18" i="12"/>
  <c r="B22" i="12"/>
  <c r="C22" i="12"/>
  <c r="C31" i="12" s="1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L611" i="1"/>
  <c r="L610" i="1"/>
  <c r="C40" i="10"/>
  <c r="F59" i="1"/>
  <c r="G59" i="1"/>
  <c r="D55" i="2" s="1"/>
  <c r="H59" i="1"/>
  <c r="I59" i="1"/>
  <c r="F55" i="2" s="1"/>
  <c r="F78" i="1"/>
  <c r="C56" i="2" s="1"/>
  <c r="F93" i="1"/>
  <c r="F110" i="1"/>
  <c r="G110" i="1"/>
  <c r="H78" i="1"/>
  <c r="E56" i="2" s="1"/>
  <c r="H93" i="1"/>
  <c r="E57" i="2" s="1"/>
  <c r="H110" i="1"/>
  <c r="I110" i="1"/>
  <c r="J110" i="1"/>
  <c r="J111" i="1" s="1"/>
  <c r="F120" i="1"/>
  <c r="F135" i="1"/>
  <c r="G120" i="1"/>
  <c r="G135" i="1"/>
  <c r="H120" i="1"/>
  <c r="H135" i="1"/>
  <c r="H139" i="1" s="1"/>
  <c r="I120" i="1"/>
  <c r="I135" i="1"/>
  <c r="J120" i="1"/>
  <c r="J135" i="1"/>
  <c r="F146" i="1"/>
  <c r="F161" i="1"/>
  <c r="G146" i="1"/>
  <c r="G161" i="1"/>
  <c r="H146" i="1"/>
  <c r="H161" i="1"/>
  <c r="I146" i="1"/>
  <c r="I161" i="1"/>
  <c r="I168" i="1" s="1"/>
  <c r="L249" i="1"/>
  <c r="C112" i="2" s="1"/>
  <c r="L331" i="1"/>
  <c r="E112" i="2" s="1"/>
  <c r="L253" i="1"/>
  <c r="L267" i="1"/>
  <c r="C141" i="2" s="1"/>
  <c r="L268" i="1"/>
  <c r="L348" i="1"/>
  <c r="L349" i="1"/>
  <c r="I664" i="1"/>
  <c r="I669" i="1"/>
  <c r="I668" i="1"/>
  <c r="C42" i="10"/>
  <c r="L373" i="1"/>
  <c r="L374" i="1"/>
  <c r="L375" i="1"/>
  <c r="L376" i="1"/>
  <c r="L377" i="1"/>
  <c r="L378" i="1"/>
  <c r="L379" i="1"/>
  <c r="B2" i="10"/>
  <c r="L343" i="1"/>
  <c r="E133" i="2" s="1"/>
  <c r="L344" i="1"/>
  <c r="L345" i="1"/>
  <c r="L346" i="1"/>
  <c r="K350" i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L541" i="1"/>
  <c r="L542" i="1"/>
  <c r="E131" i="2"/>
  <c r="E130" i="2"/>
  <c r="J269" i="1"/>
  <c r="I269" i="1"/>
  <c r="H269" i="1"/>
  <c r="G269" i="1"/>
  <c r="F269" i="1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G22" i="2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G36" i="2" s="1"/>
  <c r="I458" i="1"/>
  <c r="J47" i="1" s="1"/>
  <c r="G46" i="2" s="1"/>
  <c r="C48" i="2"/>
  <c r="C55" i="2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G102" i="2" s="1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D114" i="2"/>
  <c r="F114" i="2"/>
  <c r="G114" i="2"/>
  <c r="E122" i="2"/>
  <c r="F127" i="2"/>
  <c r="G127" i="2"/>
  <c r="C129" i="2"/>
  <c r="D133" i="2"/>
  <c r="D143" i="2" s="1"/>
  <c r="F133" i="2"/>
  <c r="K418" i="1"/>
  <c r="K426" i="1"/>
  <c r="K432" i="1"/>
  <c r="E134" i="2"/>
  <c r="L263" i="1"/>
  <c r="C135" i="2" s="1"/>
  <c r="L264" i="1"/>
  <c r="C136" i="2" s="1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G159" i="2" s="1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G618" i="1" s="1"/>
  <c r="I19" i="1"/>
  <c r="G619" i="1" s="1"/>
  <c r="F32" i="1"/>
  <c r="G32" i="1"/>
  <c r="H32" i="1"/>
  <c r="I32" i="1"/>
  <c r="F50" i="1"/>
  <c r="G621" i="1" s="1"/>
  <c r="G50" i="1"/>
  <c r="G622" i="1" s="1"/>
  <c r="H50" i="1"/>
  <c r="G623" i="1" s="1"/>
  <c r="I50" i="1"/>
  <c r="G624" i="1" s="1"/>
  <c r="F176" i="1"/>
  <c r="I176" i="1"/>
  <c r="F182" i="1"/>
  <c r="G182" i="1"/>
  <c r="H182" i="1"/>
  <c r="H191" i="1" s="1"/>
  <c r="I182" i="1"/>
  <c r="J182" i="1"/>
  <c r="J191" i="1" s="1"/>
  <c r="F187" i="1"/>
  <c r="G187" i="1"/>
  <c r="H187" i="1"/>
  <c r="I187" i="1"/>
  <c r="F210" i="1"/>
  <c r="H210" i="1"/>
  <c r="I210" i="1"/>
  <c r="J210" i="1"/>
  <c r="K210" i="1"/>
  <c r="F228" i="1"/>
  <c r="G228" i="1"/>
  <c r="H228" i="1"/>
  <c r="I228" i="1"/>
  <c r="J228" i="1"/>
  <c r="K228" i="1"/>
  <c r="F246" i="1"/>
  <c r="H246" i="1"/>
  <c r="I246" i="1"/>
  <c r="J246" i="1"/>
  <c r="K246" i="1"/>
  <c r="F255" i="1"/>
  <c r="L255" i="1" s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G407" i="1" s="1"/>
  <c r="H644" i="1" s="1"/>
  <c r="H400" i="1"/>
  <c r="I400" i="1"/>
  <c r="F406" i="1"/>
  <c r="G406" i="1"/>
  <c r="H406" i="1"/>
  <c r="I406" i="1"/>
  <c r="F407" i="1"/>
  <c r="H642" i="1" s="1"/>
  <c r="L412" i="1"/>
  <c r="L413" i="1"/>
  <c r="L418" i="1" s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2" i="1" s="1"/>
  <c r="L431" i="1"/>
  <c r="F432" i="1"/>
  <c r="G432" i="1"/>
  <c r="H432" i="1"/>
  <c r="I432" i="1"/>
  <c r="J432" i="1"/>
  <c r="F445" i="1"/>
  <c r="G445" i="1"/>
  <c r="H445" i="1"/>
  <c r="G640" i="1" s="1"/>
  <c r="F451" i="1"/>
  <c r="G451" i="1"/>
  <c r="G460" i="1" s="1"/>
  <c r="H639" i="1" s="1"/>
  <c r="H451" i="1"/>
  <c r="H460" i="1" s="1"/>
  <c r="H640" i="1" s="1"/>
  <c r="F459" i="1"/>
  <c r="F460" i="1" s="1"/>
  <c r="H638" i="1" s="1"/>
  <c r="G459" i="1"/>
  <c r="H459" i="1"/>
  <c r="H469" i="1"/>
  <c r="I469" i="1"/>
  <c r="J469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9" i="1" s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J570" i="1" s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2" i="1"/>
  <c r="K593" i="1"/>
  <c r="K594" i="1"/>
  <c r="K595" i="1"/>
  <c r="K596" i="1"/>
  <c r="K601" i="1"/>
  <c r="K602" i="1"/>
  <c r="F613" i="1"/>
  <c r="G613" i="1"/>
  <c r="H613" i="1"/>
  <c r="I613" i="1"/>
  <c r="J613" i="1"/>
  <c r="K613" i="1"/>
  <c r="H628" i="1"/>
  <c r="H629" i="1"/>
  <c r="H630" i="1"/>
  <c r="H635" i="1"/>
  <c r="H636" i="1"/>
  <c r="H637" i="1"/>
  <c r="G638" i="1"/>
  <c r="G639" i="1"/>
  <c r="G642" i="1"/>
  <c r="G643" i="1"/>
  <c r="G644" i="1"/>
  <c r="G651" i="1"/>
  <c r="H651" i="1"/>
  <c r="G652" i="1"/>
  <c r="H652" i="1"/>
  <c r="G653" i="1"/>
  <c r="H653" i="1"/>
  <c r="H654" i="1"/>
  <c r="C26" i="10"/>
  <c r="L426" i="1"/>
  <c r="F168" i="1"/>
  <c r="J139" i="1"/>
  <c r="I551" i="1"/>
  <c r="I570" i="1"/>
  <c r="D80" i="2" l="1"/>
  <c r="H25" i="13"/>
  <c r="C25" i="13" s="1"/>
  <c r="I603" i="1"/>
  <c r="I604" i="1" s="1"/>
  <c r="K269" i="1"/>
  <c r="L269" i="1" s="1"/>
  <c r="G246" i="1"/>
  <c r="J603" i="1"/>
  <c r="J604" i="1" s="1"/>
  <c r="H603" i="1"/>
  <c r="K603" i="1" s="1"/>
  <c r="K604" i="1" s="1"/>
  <c r="G647" i="1" s="1"/>
  <c r="J548" i="1"/>
  <c r="H591" i="1"/>
  <c r="J550" i="1"/>
  <c r="J591" i="1"/>
  <c r="J590" i="1" s="1"/>
  <c r="J597" i="1" s="1"/>
  <c r="H650" i="1" s="1"/>
  <c r="J650" i="1" s="1"/>
  <c r="J549" i="1"/>
  <c r="K549" i="1" s="1"/>
  <c r="I591" i="1"/>
  <c r="I590" i="1" s="1"/>
  <c r="I597" i="1" s="1"/>
  <c r="H649" i="1" s="1"/>
  <c r="E121" i="2"/>
  <c r="H662" i="1"/>
  <c r="E118" i="2"/>
  <c r="H337" i="1"/>
  <c r="H351" i="1" s="1"/>
  <c r="G337" i="1"/>
  <c r="G351" i="1" s="1"/>
  <c r="J337" i="1"/>
  <c r="J351" i="1" s="1"/>
  <c r="E123" i="2"/>
  <c r="E111" i="2"/>
  <c r="E110" i="2"/>
  <c r="L327" i="1"/>
  <c r="E120" i="2"/>
  <c r="E119" i="2"/>
  <c r="E117" i="2"/>
  <c r="E108" i="2"/>
  <c r="E124" i="2"/>
  <c r="F337" i="1"/>
  <c r="F351" i="1" s="1"/>
  <c r="H168" i="1"/>
  <c r="E77" i="2"/>
  <c r="E80" i="2" s="1"/>
  <c r="H111" i="1"/>
  <c r="E49" i="2"/>
  <c r="H51" i="1"/>
  <c r="H618" i="1" s="1"/>
  <c r="J618" i="1" s="1"/>
  <c r="E18" i="2"/>
  <c r="I475" i="1"/>
  <c r="H624" i="1" s="1"/>
  <c r="G80" i="2"/>
  <c r="F61" i="2"/>
  <c r="F62" i="2" s="1"/>
  <c r="I111" i="1"/>
  <c r="J624" i="1"/>
  <c r="F49" i="2"/>
  <c r="I368" i="1"/>
  <c r="H633" i="1" s="1"/>
  <c r="J633" i="1" s="1"/>
  <c r="H660" i="1"/>
  <c r="G660" i="1"/>
  <c r="D29" i="13"/>
  <c r="C29" i="13" s="1"/>
  <c r="G191" i="1"/>
  <c r="D61" i="2"/>
  <c r="D62" i="2" s="1"/>
  <c r="G111" i="1"/>
  <c r="C35" i="10"/>
  <c r="G51" i="1"/>
  <c r="H617" i="1" s="1"/>
  <c r="J617" i="1" s="1"/>
  <c r="F77" i="2"/>
  <c r="F102" i="2"/>
  <c r="J654" i="1"/>
  <c r="J644" i="1"/>
  <c r="G61" i="2"/>
  <c r="G62" i="2" s="1"/>
  <c r="J475" i="1"/>
  <c r="H625" i="1" s="1"/>
  <c r="L613" i="1"/>
  <c r="G649" i="1"/>
  <c r="C36" i="12"/>
  <c r="A40" i="12" s="1"/>
  <c r="G648" i="1"/>
  <c r="H590" i="1"/>
  <c r="C18" i="12"/>
  <c r="A22" i="12" s="1"/>
  <c r="G520" i="1"/>
  <c r="H661" i="1"/>
  <c r="L569" i="1"/>
  <c r="K570" i="1"/>
  <c r="H570" i="1"/>
  <c r="F570" i="1"/>
  <c r="L564" i="1"/>
  <c r="I544" i="1"/>
  <c r="G163" i="2"/>
  <c r="H551" i="1"/>
  <c r="L533" i="1"/>
  <c r="L528" i="1"/>
  <c r="J544" i="1"/>
  <c r="H544" i="1"/>
  <c r="K544" i="1"/>
  <c r="G551" i="1"/>
  <c r="G162" i="2"/>
  <c r="G156" i="2"/>
  <c r="I459" i="1"/>
  <c r="J640" i="1"/>
  <c r="I445" i="1"/>
  <c r="G641" i="1" s="1"/>
  <c r="H407" i="1"/>
  <c r="H643" i="1" s="1"/>
  <c r="J643" i="1" s="1"/>
  <c r="L400" i="1"/>
  <c r="C138" i="2" s="1"/>
  <c r="I407" i="1"/>
  <c r="L392" i="1"/>
  <c r="C137" i="2" s="1"/>
  <c r="F129" i="2"/>
  <c r="F143" i="2" s="1"/>
  <c r="F144" i="2" s="1"/>
  <c r="L350" i="1"/>
  <c r="C25" i="10"/>
  <c r="C29" i="10"/>
  <c r="E113" i="2"/>
  <c r="F22" i="13"/>
  <c r="C22" i="13" s="1"/>
  <c r="L262" i="1"/>
  <c r="C134" i="2" s="1"/>
  <c r="C113" i="2"/>
  <c r="C20" i="10"/>
  <c r="J256" i="1"/>
  <c r="J270" i="1" s="1"/>
  <c r="H256" i="1"/>
  <c r="H270" i="1" s="1"/>
  <c r="I256" i="1"/>
  <c r="I270" i="1" s="1"/>
  <c r="C18" i="10"/>
  <c r="C16" i="10"/>
  <c r="K256" i="1"/>
  <c r="C111" i="2"/>
  <c r="L197" i="1"/>
  <c r="C109" i="2" s="1"/>
  <c r="E16" i="13"/>
  <c r="C16" i="13" s="1"/>
  <c r="C124" i="2"/>
  <c r="C27" i="12"/>
  <c r="A31" i="12" s="1"/>
  <c r="G210" i="1"/>
  <c r="C17" i="10"/>
  <c r="L196" i="1"/>
  <c r="C10" i="10" s="1"/>
  <c r="C9" i="12"/>
  <c r="A13" i="12" s="1"/>
  <c r="D14" i="13"/>
  <c r="C14" i="13" s="1"/>
  <c r="C13" i="10"/>
  <c r="D12" i="13"/>
  <c r="C12" i="13" s="1"/>
  <c r="C118" i="2"/>
  <c r="L246" i="1"/>
  <c r="C21" i="10"/>
  <c r="C122" i="2"/>
  <c r="C12" i="10"/>
  <c r="L228" i="1"/>
  <c r="D6" i="13"/>
  <c r="C6" i="13" s="1"/>
  <c r="F256" i="1"/>
  <c r="F270" i="1" s="1"/>
  <c r="H646" i="1"/>
  <c r="C123" i="2"/>
  <c r="F661" i="1"/>
  <c r="C19" i="10"/>
  <c r="C110" i="2"/>
  <c r="F191" i="1"/>
  <c r="J642" i="1"/>
  <c r="J639" i="1"/>
  <c r="J638" i="1"/>
  <c r="C119" i="2"/>
  <c r="C90" i="2"/>
  <c r="E61" i="2"/>
  <c r="D31" i="2"/>
  <c r="D50" i="2" s="1"/>
  <c r="F31" i="2"/>
  <c r="D18" i="2"/>
  <c r="L361" i="1"/>
  <c r="D7" i="13"/>
  <c r="C7" i="13" s="1"/>
  <c r="E102" i="2"/>
  <c r="F90" i="2"/>
  <c r="C77" i="2"/>
  <c r="C80" i="2" s="1"/>
  <c r="E31" i="2"/>
  <c r="E50" i="2" s="1"/>
  <c r="F18" i="2"/>
  <c r="G661" i="1"/>
  <c r="C23" i="10"/>
  <c r="C15" i="10"/>
  <c r="D18" i="13"/>
  <c r="C18" i="13" s="1"/>
  <c r="D15" i="13"/>
  <c r="C15" i="13" s="1"/>
  <c r="E13" i="13"/>
  <c r="C13" i="13" s="1"/>
  <c r="K502" i="1"/>
  <c r="L381" i="1"/>
  <c r="G635" i="1" s="1"/>
  <c r="J635" i="1" s="1"/>
  <c r="L336" i="1"/>
  <c r="L308" i="1"/>
  <c r="E8" i="13"/>
  <c r="C8" i="13" s="1"/>
  <c r="L289" i="1"/>
  <c r="L543" i="1"/>
  <c r="E136" i="2"/>
  <c r="E143" i="2" s="1"/>
  <c r="D126" i="2"/>
  <c r="D127" i="2" s="1"/>
  <c r="D144" i="2" s="1"/>
  <c r="C121" i="2"/>
  <c r="C117" i="2"/>
  <c r="C102" i="2"/>
  <c r="D90" i="2"/>
  <c r="F80" i="2"/>
  <c r="E55" i="2"/>
  <c r="G161" i="2"/>
  <c r="G160" i="2"/>
  <c r="G158" i="2"/>
  <c r="G155" i="2"/>
  <c r="C32" i="10"/>
  <c r="F660" i="1"/>
  <c r="K499" i="1"/>
  <c r="I451" i="1"/>
  <c r="I51" i="1"/>
  <c r="H619" i="1" s="1"/>
  <c r="J619" i="1" s="1"/>
  <c r="C120" i="2"/>
  <c r="K337" i="1"/>
  <c r="K351" i="1" s="1"/>
  <c r="C69" i="2"/>
  <c r="H33" i="13"/>
  <c r="C61" i="2"/>
  <c r="C62" i="2" s="1"/>
  <c r="F111" i="1"/>
  <c r="C31" i="2"/>
  <c r="C18" i="2"/>
  <c r="C50" i="2"/>
  <c r="F51" i="1"/>
  <c r="H616" i="1" s="1"/>
  <c r="J616" i="1" s="1"/>
  <c r="C24" i="10"/>
  <c r="G31" i="13"/>
  <c r="G33" i="13" s="1"/>
  <c r="I337" i="1"/>
  <c r="I351" i="1" s="1"/>
  <c r="L406" i="1"/>
  <c r="C139" i="2" s="1"/>
  <c r="L570" i="1"/>
  <c r="I191" i="1"/>
  <c r="E90" i="2"/>
  <c r="J653" i="1"/>
  <c r="J652" i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F31" i="13"/>
  <c r="F33" i="13" s="1"/>
  <c r="J192" i="1"/>
  <c r="G645" i="1" s="1"/>
  <c r="G168" i="1"/>
  <c r="G139" i="1"/>
  <c r="F139" i="1"/>
  <c r="G42" i="2"/>
  <c r="G49" i="2" s="1"/>
  <c r="J50" i="1"/>
  <c r="G16" i="2"/>
  <c r="G18" i="2" s="1"/>
  <c r="J19" i="1"/>
  <c r="G620" i="1" s="1"/>
  <c r="F544" i="1"/>
  <c r="H433" i="1"/>
  <c r="D102" i="2"/>
  <c r="I139" i="1"/>
  <c r="J651" i="1"/>
  <c r="G570" i="1"/>
  <c r="I433" i="1"/>
  <c r="G433" i="1"/>
  <c r="J551" i="1" l="1"/>
  <c r="H604" i="1"/>
  <c r="G662" i="1"/>
  <c r="F662" i="1"/>
  <c r="G256" i="1"/>
  <c r="G270" i="1" s="1"/>
  <c r="J649" i="1"/>
  <c r="K270" i="1"/>
  <c r="K591" i="1"/>
  <c r="K550" i="1"/>
  <c r="H647" i="1"/>
  <c r="E114" i="2"/>
  <c r="H659" i="1"/>
  <c r="H663" i="1" s="1"/>
  <c r="H666" i="1" s="1"/>
  <c r="L337" i="1"/>
  <c r="E127" i="2"/>
  <c r="C39" i="10"/>
  <c r="H192" i="1"/>
  <c r="G628" i="1" s="1"/>
  <c r="J628" i="1" s="1"/>
  <c r="G103" i="2"/>
  <c r="I192" i="1"/>
  <c r="G629" i="1" s="1"/>
  <c r="J629" i="1" s="1"/>
  <c r="C36" i="10"/>
  <c r="F50" i="2"/>
  <c r="G634" i="1"/>
  <c r="G471" i="1"/>
  <c r="I660" i="1"/>
  <c r="C27" i="10"/>
  <c r="F103" i="2"/>
  <c r="J647" i="1"/>
  <c r="L520" i="1"/>
  <c r="G523" i="1"/>
  <c r="G544" i="1" s="1"/>
  <c r="H597" i="1"/>
  <c r="H648" i="1" s="1"/>
  <c r="J648" i="1" s="1"/>
  <c r="K590" i="1"/>
  <c r="I460" i="1"/>
  <c r="H641" i="1" s="1"/>
  <c r="J641" i="1"/>
  <c r="C140" i="2"/>
  <c r="C143" i="2" s="1"/>
  <c r="C11" i="10"/>
  <c r="D5" i="13"/>
  <c r="C5" i="13" s="1"/>
  <c r="L210" i="1"/>
  <c r="L256" i="1" s="1"/>
  <c r="L270" i="1" s="1"/>
  <c r="C108" i="2"/>
  <c r="C114" i="2" s="1"/>
  <c r="C127" i="2"/>
  <c r="G659" i="1"/>
  <c r="I661" i="1"/>
  <c r="F192" i="1"/>
  <c r="E33" i="13"/>
  <c r="D35" i="13" s="1"/>
  <c r="L407" i="1"/>
  <c r="E62" i="2"/>
  <c r="E103" i="2" s="1"/>
  <c r="D103" i="2"/>
  <c r="C103" i="2"/>
  <c r="D31" i="13"/>
  <c r="C31" i="13" s="1"/>
  <c r="G50" i="2"/>
  <c r="G630" i="1"/>
  <c r="J630" i="1" s="1"/>
  <c r="G192" i="1"/>
  <c r="G625" i="1"/>
  <c r="J625" i="1" s="1"/>
  <c r="J51" i="1"/>
  <c r="H620" i="1" s="1"/>
  <c r="J620" i="1" s="1"/>
  <c r="C38" i="10"/>
  <c r="I662" i="1" l="1"/>
  <c r="G663" i="1"/>
  <c r="G666" i="1" s="1"/>
  <c r="G626" i="1"/>
  <c r="F467" i="1"/>
  <c r="G627" i="1"/>
  <c r="G467" i="1"/>
  <c r="K597" i="1"/>
  <c r="G646" i="1" s="1"/>
  <c r="J646" i="1" s="1"/>
  <c r="C28" i="10"/>
  <c r="D21" i="10" s="1"/>
  <c r="L351" i="1"/>
  <c r="G632" i="1" s="1"/>
  <c r="H471" i="1"/>
  <c r="E144" i="2"/>
  <c r="G473" i="1"/>
  <c r="H634" i="1"/>
  <c r="J634" i="1" s="1"/>
  <c r="H671" i="1"/>
  <c r="C6" i="10" s="1"/>
  <c r="F548" i="1"/>
  <c r="L523" i="1"/>
  <c r="L544" i="1" s="1"/>
  <c r="F471" i="1"/>
  <c r="G631" i="1"/>
  <c r="F659" i="1"/>
  <c r="F663" i="1" s="1"/>
  <c r="C144" i="2"/>
  <c r="D24" i="10"/>
  <c r="G671" i="1"/>
  <c r="C5" i="10" s="1"/>
  <c r="D22" i="10"/>
  <c r="D19" i="10"/>
  <c r="D15" i="10"/>
  <c r="D26" i="10"/>
  <c r="C30" i="10"/>
  <c r="D13" i="10"/>
  <c r="D33" i="13"/>
  <c r="D36" i="13" s="1"/>
  <c r="G636" i="1"/>
  <c r="J636" i="1" s="1"/>
  <c r="H645" i="1"/>
  <c r="J645" i="1" s="1"/>
  <c r="C41" i="10"/>
  <c r="D38" i="10" s="1"/>
  <c r="D27" i="10" l="1"/>
  <c r="D18" i="10"/>
  <c r="D25" i="10"/>
  <c r="D16" i="10"/>
  <c r="D17" i="10"/>
  <c r="D20" i="10"/>
  <c r="D23" i="10"/>
  <c r="D12" i="10"/>
  <c r="D11" i="10"/>
  <c r="D10" i="10"/>
  <c r="J626" i="1"/>
  <c r="F469" i="1"/>
  <c r="H626" i="1"/>
  <c r="J627" i="1"/>
  <c r="G469" i="1"/>
  <c r="G475" i="1" s="1"/>
  <c r="H622" i="1" s="1"/>
  <c r="J622" i="1" s="1"/>
  <c r="H627" i="1"/>
  <c r="H473" i="1"/>
  <c r="H475" i="1" s="1"/>
  <c r="H623" i="1" s="1"/>
  <c r="J623" i="1" s="1"/>
  <c r="H632" i="1"/>
  <c r="J632" i="1" s="1"/>
  <c r="K548" i="1"/>
  <c r="K551" i="1" s="1"/>
  <c r="F551" i="1"/>
  <c r="I659" i="1"/>
  <c r="I663" i="1" s="1"/>
  <c r="I671" i="1" s="1"/>
  <c r="C7" i="10" s="1"/>
  <c r="F473" i="1"/>
  <c r="H631" i="1"/>
  <c r="J631" i="1" s="1"/>
  <c r="F671" i="1"/>
  <c r="C4" i="10" s="1"/>
  <c r="F666" i="1"/>
  <c r="D37" i="10"/>
  <c r="D36" i="10"/>
  <c r="D35" i="10"/>
  <c r="D40" i="10"/>
  <c r="D39" i="10"/>
  <c r="D28" i="10" l="1"/>
  <c r="F475" i="1"/>
  <c r="H621" i="1" s="1"/>
  <c r="J621" i="1" s="1"/>
  <c r="I666" i="1"/>
  <c r="D41" i="10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<sst xmlns="http://schemas.openxmlformats.org/spreadsheetml/2006/main" count="3947" uniqueCount="913">
  <si>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</si>
  <si>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</si>
  <si>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</si>
  <si>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</si>
  <si>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</si>
  <si>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</si>
  <si>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</si>
  <si>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</si>
  <si>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</si>
  <si>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</si>
  <si>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</si>
  <si>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</si>
  <si>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</si>
  <si>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</si>
  <si>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</si>
  <si>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</si>
  <si>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</si>
  <si>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</si>
  <si>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</si>
  <si>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</si>
  <si>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</si>
  <si>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</si>
  <si>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</si>
  <si>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</si>
  <si>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</si>
  <si>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</si>
  <si>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</si>
  <si>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</si>
  <si>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</si>
  <si>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</si>
  <si>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</si>
  <si>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</si>
  <si>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</si>
  <si>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</si>
  <si>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</si>
  <si>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</si>
  <si>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</si>
  <si>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</si>
  <si>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</si>
  <si>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</si>
  <si>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</si>
  <si>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</si>
  <si>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</si>
  <si>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</si>
  <si>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</si>
  <si>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</si>
  <si>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</si>
  <si>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</si>
  <si>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</si>
  <si>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</si>
  <si>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</si>
  <si>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</si>
  <si>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</si>
  <si>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</si>
  <si>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</si>
  <si>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</si>
  <si>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</si>
  <si>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</si>
  <si>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</si>
  <si>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</si>
  <si>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</si>
  <si>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</si>
  <si>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</si>
  <si>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</si>
  <si>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</si>
  <si>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</si>
  <si>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</si>
  <si>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</si>
  <si>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</si>
  <si>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</si>
  <si>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</si>
  <si>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</si>
  <si>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</si>
  <si>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</si>
  <si>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</si>
  <si>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</si>
  <si>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</si>
  <si>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</si>
  <si>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</si>
  <si>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</si>
  <si>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</si>
  <si>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</si>
  <si>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</si>
  <si>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</si>
  <si>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</si>
  <si>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</si>
  <si>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</si>
  <si>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</si>
  <si>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</si>
  <si>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</si>
  <si>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</si>
  <si>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</si>
  <si>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</si>
  <si>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</si>
  <si>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</si>
  <si>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</si>
  <si>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</si>
  <si>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</si>
  <si>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</si>
  <si>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</si>
  <si>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</si>
  <si>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</si>
  <si>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</si>
  <si>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</si>
  <si>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</si>
  <si>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</si>
  <si>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</si>
  <si>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</si>
  <si>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</si>
  <si>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</si>
  <si>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</si>
  <si>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</si>
  <si>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</si>
  <si>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</si>
  <si>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</si>
  <si>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</si>
  <si>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</si>
  <si>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</si>
  <si>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</si>
  <si>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</si>
  <si>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</si>
  <si>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</si>
  <si>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</si>
  <si>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</si>
  <si>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</si>
  <si>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</si>
  <si>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</si>
  <si>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</si>
  <si>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</si>
  <si>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</si>
  <si>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</si>
  <si>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</si>
  <si>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</si>
  <si>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</si>
  <si>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</si>
  <si>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</si>
  <si>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</si>
  <si>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</si>
  <si>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</si>
  <si>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</si>
  <si>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</si>
  <si>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</si>
  <si>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</si>
  <si>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</si>
  <si>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</si>
  <si>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</si>
  <si>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</si>
  <si>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</si>
  <si>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</si>
  <si>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</si>
  <si>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</si>
  <si>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</si>
  <si>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</si>
  <si>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</si>
  <si>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</si>
  <si>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</si>
  <si>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</si>
  <si>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</si>
  <si>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</si>
  <si>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</si>
  <si>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</si>
  <si>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</si>
  <si>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</si>
  <si>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</si>
  <si>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</si>
  <si>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</si>
  <si>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</si>
  <si>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</si>
  <si>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</si>
  <si>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</si>
  <si>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</si>
  <si>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</si>
  <si>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</si>
  <si>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</si>
  <si>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</si>
  <si>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</si>
  <si>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</si>
  <si>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</si>
  <si>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</si>
  <si>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</si>
  <si>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</si>
  <si>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</si>
  <si>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</si>
  <si>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</si>
  <si>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</si>
  <si>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</si>
  <si>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</si>
  <si>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</si>
  <si>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</si>
  <si>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</si>
  <si>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</si>
  <si>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</si>
  <si>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</si>
  <si>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</si>
  <si>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</si>
  <si>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</si>
  <si>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</si>
  <si>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</si>
  <si>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</si>
  <si>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</si>
  <si>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</si>
  <si>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</si>
  <si>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</si>
  <si>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</si>
  <si>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</si>
  <si>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</si>
  <si>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</si>
  <si>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</si>
  <si>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</si>
  <si>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</si>
  <si>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</si>
  <si>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</si>
  <si>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</si>
  <si>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</si>
  <si>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</si>
  <si>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</si>
  <si>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</si>
  <si>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</si>
  <si>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</si>
  <si>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</si>
  <si>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</si>
  <si>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</si>
  <si>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</si>
  <si>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</si>
  <si>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</si>
  <si>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</si>
  <si>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</si>
  <si>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</si>
  <si>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</si>
  <si>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</si>
  <si>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</si>
  <si>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</si>
  <si>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</si>
  <si>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</si>
  <si>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</si>
  <si>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</si>
  <si>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</si>
  <si>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</si>
  <si>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</si>
  <si>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</si>
  <si>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</si>
  <si>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</si>
  <si>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</si>
  <si>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</si>
  <si>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</si>
  <si>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</si>
  <si>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</si>
  <si>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</si>
  <si>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</si>
  <si>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</si>
  <si>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</si>
  <si>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</si>
  <si>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</si>
  <si>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</si>
  <si>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</si>
  <si>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</si>
  <si>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</si>
  <si>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</si>
  <si>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</si>
  <si>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</si>
  <si>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</si>
  <si>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</si>
  <si>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</si>
  <si>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</si>
  <si>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</si>
  <si>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</si>
  <si>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</si>
  <si>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</si>
  <si>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</si>
  <si>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</si>
  <si>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</si>
  <si>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</si>
  <si>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</si>
  <si>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</si>
  <si>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</si>
  <si>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</si>
  <si>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</si>
  <si>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</si>
  <si>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</si>
  <si>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</si>
  <si>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</si>
  <si>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</si>
  <si>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</si>
  <si>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</si>
  <si>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</si>
  <si>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</si>
  <si>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</si>
  <si>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</si>
  <si>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</si>
  <si>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</si>
  <si>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</si>
  <si>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</si>
  <si>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</si>
  <si>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</si>
  <si>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</si>
  <si>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</si>
  <si>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</si>
  <si>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</si>
  <si>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</si>
  <si>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</si>
  <si>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</si>
  <si>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</si>
  <si>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</si>
  <si>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</si>
  <si>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</si>
  <si>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</si>
  <si>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</si>
  <si>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</si>
  <si>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</si>
  <si>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</si>
  <si>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</si>
  <si>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</si>
  <si>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</si>
  <si>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</si>
  <si>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</si>
  <si>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</si>
  <si>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</si>
  <si>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</si>
  <si>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</si>
  <si>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</si>
  <si>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</si>
  <si>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</si>
  <si>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</si>
  <si>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</si>
  <si>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</si>
  <si>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</si>
  <si>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</si>
  <si>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</si>
  <si>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</si>
  <si>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</si>
  <si>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</si>
  <si>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</si>
  <si>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</si>
  <si>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</si>
  <si>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</si>
  <si>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</si>
  <si>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</si>
  <si>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</si>
  <si>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</si>
  <si>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</si>
  <si>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</si>
  <si>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</si>
  <si>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</si>
  <si>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</si>
  <si>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</si>
  <si>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</si>
  <si>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</si>
  <si>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</si>
  <si>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</si>
  <si>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</si>
  <si>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</si>
  <si>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</si>
  <si>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</si>
  <si>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</si>
  <si>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</si>
  <si>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</si>
  <si>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</si>
  <si>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</si>
  <si>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</si>
  <si>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</si>
  <si>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</si>
  <si>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</si>
  <si>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</si>
  <si>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</si>
  <si>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</si>
  <si>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</si>
  <si>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</si>
  <si>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</si>
  <si>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</si>
  <si>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</si>
  <si>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</si>
  <si>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</si>
  <si>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</si>
  <si>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</si>
  <si>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</si>
  <si>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</si>
  <si>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</si>
  <si>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</si>
  <si>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</si>
  <si>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</si>
  <si>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</si>
  <si>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</si>
  <si>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</si>
  <si>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</si>
  <si>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</si>
  <si>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</si>
  <si>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</si>
  <si>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</si>
  <si>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</si>
  <si>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</si>
  <si>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</si>
  <si>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</si>
  <si>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</si>
  <si>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</si>
  <si>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</si>
  <si>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</si>
  <si>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</si>
  <si>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</si>
  <si>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</si>
  <si>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</si>
  <si>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</si>
  <si>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</si>
  <si>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</si>
  <si>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</si>
  <si>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</si>
  <si>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</si>
  <si>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</si>
  <si>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</si>
  <si>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</si>
  <si>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</si>
  <si>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</si>
  <si>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</si>
  <si>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</si>
  <si>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</si>
  <si>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</si>
  <si>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</si>
  <si>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</si>
  <si>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</si>
  <si>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</si>
  <si>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</si>
  <si>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</si>
  <si>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</si>
  <si>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</si>
  <si>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</si>
  <si>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</si>
  <si>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</si>
  <si>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</si>
  <si>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</si>
  <si>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</si>
  <si>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</si>
  <si>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</si>
  <si>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</si>
  <si>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</si>
  <si>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</si>
  <si>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</si>
  <si>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</si>
  <si>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</si>
  <si>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</si>
  <si>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</si>
  <si>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</si>
  <si>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</si>
  <si>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</si>
  <si>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</si>
  <si>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</si>
  <si>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</si>
  <si>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</si>
  <si>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</si>
  <si>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</si>
  <si>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</si>
  <si>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</si>
  <si>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</si>
  <si>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</si>
  <si>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</si>
  <si>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</si>
  <si>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</si>
  <si>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</si>
  <si>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</si>
  <si>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</si>
  <si>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</si>
  <si>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</si>
  <si>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</si>
  <si>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</si>
  <si>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</si>
  <si>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</si>
  <si>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</si>
  <si>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</si>
  <si>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</si>
  <si>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</si>
  <si>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</si>
  <si>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</si>
  <si>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</si>
  <si>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</si>
  <si>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</si>
  <si>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</si>
  <si>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</si>
  <si>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</si>
  <si>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</si>
  <si>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</si>
  <si>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</si>
  <si>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</si>
  <si>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</si>
  <si>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</si>
  <si>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</si>
  <si>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</si>
  <si>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</si>
  <si>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</si>
  <si>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</si>
  <si>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</si>
  <si>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</si>
  <si>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</si>
  <si>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</si>
  <si>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</si>
  <si>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</si>
  <si>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</si>
  <si>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</si>
  <si>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</si>
  <si>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</si>
  <si>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</si>
  <si>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</si>
  <si>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</si>
  <si>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</si>
  <si>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</si>
  <si>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</si>
  <si>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</si>
  <si>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</si>
  <si>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</si>
  <si>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</si>
  <si>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</si>
  <si>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</si>
  <si>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</si>
  <si>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</si>
  <si>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</si>
  <si>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</si>
  <si>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</si>
  <si>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</si>
  <si>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</si>
  <si>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</si>
  <si>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</si>
  <si>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</si>
  <si>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</si>
  <si>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</si>
  <si>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</si>
  <si>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</si>
  <si>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</si>
  <si>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</si>
  <si>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</si>
  <si>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</si>
  <si>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</si>
  <si>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</si>
  <si>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</si>
  <si>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</si>
  <si>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</si>
  <si>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</si>
  <si>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</si>
  <si>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</si>
  <si>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</si>
  <si>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</si>
  <si>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</si>
  <si>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</si>
  <si>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</si>
  <si>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</si>
  <si>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</si>
  <si>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</si>
  <si>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</si>
  <si>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</si>
  <si>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</si>
  <si>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</si>
  <si>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</si>
  <si>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</si>
  <si>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</si>
  <si>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</si>
  <si>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</si>
  <si>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</si>
  <si>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</si>
  <si>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</si>
  <si>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</si>
  <si>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</si>
  <si>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</si>
  <si>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</si>
  <si>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</si>
  <si>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</si>
  <si>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</si>
  <si>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</si>
  <si>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</si>
  <si>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</si>
  <si>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</si>
  <si>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</si>
  <si>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</si>
  <si>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</si>
  <si>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</si>
  <si>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</si>
  <si>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</si>
  <si>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</si>
  <si>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</si>
  <si>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</si>
  <si>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</si>
  <si>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</si>
  <si>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</si>
  <si>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</si>
  <si>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</si>
  <si>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</si>
  <si>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</si>
  <si>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</si>
  <si>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</si>
  <si>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</si>
  <si>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</si>
  <si>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</si>
  <si>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</si>
  <si>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</si>
  <si>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</si>
  <si>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</si>
  <si>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</si>
  <si>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</si>
  <si>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</si>
  <si>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</si>
  <si>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</si>
  <si>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</si>
  <si>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</si>
  <si>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</si>
  <si>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</si>
  <si>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</si>
  <si>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</si>
  <si>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</si>
  <si>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</si>
  <si>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</si>
  <si>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</si>
  <si>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</si>
  <si>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</si>
  <si>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</si>
  <si>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</si>
  <si>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</si>
  <si>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</si>
  <si>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</si>
  <si>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</si>
  <si>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</si>
  <si>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</si>
  <si>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</si>
  <si>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</si>
  <si>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</si>
  <si>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</si>
  <si>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</si>
  <si>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</si>
  <si>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</si>
  <si>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</si>
  <si>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</si>
  <si>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</si>
  <si>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</si>
  <si>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</si>
  <si>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</si>
  <si>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</si>
  <si>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</si>
  <si>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</si>
  <si>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</si>
  <si>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</si>
  <si>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</si>
  <si>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</si>
  <si>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</si>
  <si>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</si>
  <si>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</si>
  <si>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</si>
  <si>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</si>
  <si>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</si>
  <si>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</si>
  <si>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</si>
  <si>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</si>
  <si>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</si>
  <si>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</si>
  <si>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</si>
  <si>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</si>
  <si>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</si>
  <si>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</si>
  <si>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</si>
  <si>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</si>
  <si>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</si>
  <si>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</si>
  <si>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</si>
  <si>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</si>
  <si>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</si>
  <si>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</si>
  <si>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</si>
  <si>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</si>
  <si>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</si>
  <si>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</si>
  <si>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</si>
  <si>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</si>
  <si>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</si>
  <si>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</si>
  <si>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</si>
  <si>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</si>
  <si>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</si>
  <si>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</si>
  <si>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</si>
  <si>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</si>
  <si>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</si>
  <si>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</si>
  <si>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</si>
  <si>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</si>
  <si>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</si>
  <si>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</si>
  <si>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</si>
  <si>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</si>
  <si>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</si>
  <si>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</si>
  <si>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</si>
  <si>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</si>
  <si>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</si>
  <si>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</si>
  <si>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</si>
  <si>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</si>
  <si>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</si>
  <si>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</si>
  <si>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</si>
  <si>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</si>
  <si>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</si>
  <si>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</si>
  <si>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</si>
  <si>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</si>
  <si>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</si>
  <si>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</si>
  <si>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</si>
  <si>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</si>
  <si>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</si>
  <si>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</si>
  <si>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</si>
  <si>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</si>
  <si>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</si>
  <si>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</si>
  <si>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</si>
  <si>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</si>
  <si>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</si>
  <si>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</si>
  <si>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</si>
  <si>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</si>
  <si>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</si>
  <si>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</si>
  <si>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</si>
  <si>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</si>
  <si>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</si>
  <si>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</si>
  <si>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</si>
  <si>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</si>
  <si>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</si>
  <si>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</si>
  <si>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</si>
  <si>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</si>
  <si>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</si>
  <si>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</si>
  <si>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</si>
  <si>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</si>
  <si>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</si>
  <si>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</si>
  <si>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</si>
  <si>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</si>
  <si>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</si>
  <si>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</si>
  <si>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</si>
  <si>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</si>
  <si>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</si>
  <si>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</si>
  <si>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</si>
  <si>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</si>
  <si>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</si>
  <si>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</si>
  <si>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</si>
  <si>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</si>
  <si>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</si>
  <si>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</si>
  <si>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</si>
  <si>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</si>
  <si>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</si>
  <si>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</si>
  <si>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</si>
  <si>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</si>
  <si>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</si>
  <si>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</si>
  <si>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</si>
  <si>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</si>
  <si>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</si>
  <si>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</si>
  <si>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</si>
  <si>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</si>
  <si>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</si>
  <si>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</si>
  <si>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</si>
  <si>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</si>
  <si>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</si>
  <si>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</si>
  <si>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</si>
  <si>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</si>
  <si>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</si>
  <si>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</si>
  <si>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</si>
  <si>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</si>
  <si>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</si>
  <si>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</si>
  <si>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</si>
  <si>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</si>
  <si>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</si>
  <si>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</si>
  <si>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</si>
  <si>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</si>
  <si>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</si>
  <si>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</si>
  <si>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</si>
  <si>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</si>
  <si>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</si>
  <si>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</si>
  <si>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</si>
  <si>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</si>
  <si>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</si>
  <si>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</si>
  <si>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</si>
  <si>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</si>
  <si>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</si>
  <si>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</si>
  <si>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</si>
  <si>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</si>
  <si>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</si>
  <si>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</si>
  <si>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</si>
  <si>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</si>
  <si>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</si>
  <si>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</si>
  <si>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</si>
  <si>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</si>
  <si>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</si>
  <si>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</si>
  <si>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</si>
  <si>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</si>
  <si>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</si>
  <si>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</si>
  <si>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</si>
  <si>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</si>
  <si>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</si>
  <si>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</si>
  <si>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</si>
  <si>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</si>
  <si>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</si>
  <si>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</si>
  <si>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</si>
  <si>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</si>
  <si>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</si>
  <si>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</si>
  <si>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</si>
  <si>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</si>
  <si>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</si>
  <si>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</si>
  <si>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</si>
  <si>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</si>
  <si>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</si>
  <si>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</si>
  <si>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</si>
  <si>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</si>
  <si>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</si>
  <si>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</si>
  <si>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</si>
  <si>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</si>
  <si>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</si>
  <si>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</si>
  <si>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</si>
  <si>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</si>
  <si>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</si>
  <si>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</si>
  <si>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</si>
  <si>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</si>
  <si>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</si>
  <si>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</si>
  <si>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</si>
  <si>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</si>
  <si>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</si>
  <si>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</si>
  <si>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</si>
  <si>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</si>
  <si>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</si>
  <si>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</si>
  <si>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</si>
  <si>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</si>
  <si>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</si>
  <si>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</si>
  <si>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</si>
  <si>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</si>
  <si>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</si>
  <si>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</si>
  <si>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</si>
  <si>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</si>
  <si>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</si>
  <si>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</si>
  <si>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</si>
  <si>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</si>
  <si>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</si>
  <si>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</si>
  <si>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</si>
  <si>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</si>
  <si>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</si>
  <si>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</si>
  <si>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</si>
  <si>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</si>
  <si>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</si>
  <si>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</si>
  <si>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</si>
  <si>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</si>
  <si>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</si>
  <si>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</si>
  <si>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</si>
  <si>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</si>
  <si>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</si>
  <si>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</si>
  <si>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</si>
  <si>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</si>
  <si>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</si>
  <si>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</si>
  <si>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</si>
  <si>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</si>
  <si>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</si>
  <si>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</si>
  <si>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</si>
  <si>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</si>
  <si>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</si>
  <si>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</si>
  <si>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</si>
  <si>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</si>
  <si>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</si>
  <si>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</si>
  <si>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</si>
  <si>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</si>
  <si>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</si>
  <si>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</si>
  <si>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</si>
  <si>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</si>
  <si>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SAU# 64 - Milton School District</t>
  </si>
  <si>
    <t>Audit adjyustments</t>
  </si>
  <si>
    <t>08/05</t>
  </si>
  <si>
    <t>08/20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</si>
</sst>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110" zoomScaleNormal="11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359</v>
      </c>
      <c r="C2" s="21">
        <v>359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0</v>
      </c>
      <c r="G9" s="18">
        <v>0</v>
      </c>
      <c r="H9" s="18">
        <v>0</v>
      </c>
      <c r="I9" s="18">
        <v>231618.81</v>
      </c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SUM(I439)</f>
        <v>100507.88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299426.37-66164.13</f>
        <v>233262.24</v>
      </c>
      <c r="G12" s="18">
        <f>8737.74</f>
        <v>8737.74</v>
      </c>
      <c r="H12" s="18">
        <v>0</v>
      </c>
      <c r="I12" s="18">
        <v>0</v>
      </c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3482.36</v>
      </c>
      <c r="H13" s="18">
        <f>22260.55</f>
        <v>22260.55</v>
      </c>
      <c r="I13" s="18">
        <v>0</v>
      </c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59873+60684</f>
        <v>120557</v>
      </c>
      <c r="G14" s="18">
        <f>23664.04</f>
        <v>23664.04</v>
      </c>
      <c r="H14" s="18">
        <v>263524.8</v>
      </c>
      <c r="I14" s="18">
        <v>0</v>
      </c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4247.18</v>
      </c>
      <c r="H18" s="145">
        <v>0</v>
      </c>
      <c r="I18" s="18">
        <v>0</v>
      </c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353819.24</v>
      </c>
      <c r="G19" s="41">
        <f>SUM(G9:G18)</f>
        <v>40131.32</v>
      </c>
      <c r="H19" s="41">
        <f>SUM(H9:H18)</f>
        <v>285785.34999999998</v>
      </c>
      <c r="I19" s="41">
        <f>SUM(I9:I18)</f>
        <v>231618.81</v>
      </c>
      <c r="J19" s="41">
        <f>SUM(J9:J18)</f>
        <v>100507.88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4069.03</f>
        <v>4069.03</v>
      </c>
      <c r="G22" s="18">
        <f>27911.22+2325.9</f>
        <v>30237.120000000003</v>
      </c>
      <c r="H22" s="18">
        <f>22260.55+263524.8</f>
        <v>285785.34999999998</v>
      </c>
      <c r="I22" s="18">
        <v>37280.94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3765.28</f>
        <v>3765.28</v>
      </c>
      <c r="G24" s="18">
        <v>8401.33</v>
      </c>
      <c r="H24" s="18">
        <v>0</v>
      </c>
      <c r="I24" s="18">
        <v>0</v>
      </c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1492.87</v>
      </c>
      <c r="H31" s="18">
        <v>0</v>
      </c>
      <c r="I31" s="18">
        <v>0</v>
      </c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7834.31</v>
      </c>
      <c r="G32" s="41">
        <f>SUM(G22:G31)</f>
        <v>40131.320000000007</v>
      </c>
      <c r="H32" s="41">
        <f>SUM(H22:H31)</f>
        <v>285785.34999999998</v>
      </c>
      <c r="I32" s="41">
        <f>SUM(I22:I31)</f>
        <v>37280.94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/>
      <c r="I39" s="18">
        <v>0</v>
      </c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>
        <v>75000</v>
      </c>
      <c r="G47" s="18">
        <v>0</v>
      </c>
      <c r="H47" s="18">
        <v>0</v>
      </c>
      <c r="I47" s="18">
        <f>140956.38+53253.02+128.47</f>
        <v>194337.87</v>
      </c>
      <c r="J47" s="13">
        <f>SUM(I458)</f>
        <v>100507.88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0</v>
      </c>
      <c r="G48" s="18">
        <v>0</v>
      </c>
      <c r="H48" s="18">
        <v>0</v>
      </c>
      <c r="I48" s="18">
        <v>0</v>
      </c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159750.8+111234.13</f>
        <v>270984.93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345984.93</v>
      </c>
      <c r="G50" s="41">
        <f>SUM(G35:G49)</f>
        <v>0</v>
      </c>
      <c r="H50" s="41">
        <f>SUM(H35:H49)</f>
        <v>0</v>
      </c>
      <c r="I50" s="41">
        <f>SUM(I35:I49)</f>
        <v>194337.87</v>
      </c>
      <c r="J50" s="41">
        <f>SUM(J35:J49)</f>
        <v>100507.88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353819.24</v>
      </c>
      <c r="G51" s="41">
        <f>G50+G32</f>
        <v>40131.320000000007</v>
      </c>
      <c r="H51" s="41">
        <f>H50+H32</f>
        <v>285785.34999999998</v>
      </c>
      <c r="I51" s="41">
        <f>I50+I32</f>
        <v>231618.81</v>
      </c>
      <c r="J51" s="41">
        <f>J50+J32</f>
        <v>100507.88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4752690</v>
      </c>
      <c r="G56" s="18">
        <v>0</v>
      </c>
      <c r="H56" s="18">
        <v>0</v>
      </c>
      <c r="I56" s="18">
        <v>0</v>
      </c>
      <c r="J56" s="18">
        <v>0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0</v>
      </c>
      <c r="G57" s="18">
        <v>0</v>
      </c>
      <c r="H57" s="24" t="s">
        <v>289</v>
      </c>
      <c r="I57" s="18">
        <v>0</v>
      </c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4752690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28170.27+500</f>
        <v>28670.27</v>
      </c>
      <c r="G62" s="24" t="s">
        <v>289</v>
      </c>
      <c r="H62" s="18">
        <v>0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0</v>
      </c>
      <c r="G67" s="24" t="s">
        <v>289</v>
      </c>
      <c r="H67" s="18">
        <v>0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0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0</v>
      </c>
      <c r="G71" s="24" t="s">
        <v>289</v>
      </c>
      <c r="H71" s="18">
        <v>0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>
        <v>0</v>
      </c>
      <c r="G75" s="24" t="s">
        <v>289</v>
      </c>
      <c r="H75" s="18">
        <v>0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>
        <f>381.52-4694.95+7300</f>
        <v>2986.5699999999997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31656.84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f>14230.11-8953.99</f>
        <v>5276.1200000000008</v>
      </c>
      <c r="G82" s="24" t="s">
        <v>289</v>
      </c>
      <c r="H82" s="18">
        <v>0</v>
      </c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>
        <v>0</v>
      </c>
      <c r="G85" s="24" t="s">
        <v>289</v>
      </c>
      <c r="H85" s="18">
        <v>0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>
        <v>242.5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>
        <v>0</v>
      </c>
      <c r="G89" s="24" t="s">
        <v>289</v>
      </c>
      <c r="H89" s="18">
        <v>0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5518.6200000000008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0</v>
      </c>
      <c r="G95" s="18">
        <v>0</v>
      </c>
      <c r="H95" s="18">
        <v>0</v>
      </c>
      <c r="I95" s="18">
        <v>128.47</v>
      </c>
      <c r="J95" s="18">
        <v>713.62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68903.929999999993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0</v>
      </c>
      <c r="G97" s="24" t="s">
        <v>289</v>
      </c>
      <c r="H97" s="18">
        <v>0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0</v>
      </c>
      <c r="G98" s="18">
        <v>0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0</v>
      </c>
      <c r="G100" s="18">
        <v>0</v>
      </c>
      <c r="H100" s="18">
        <v>0</v>
      </c>
      <c r="I100" s="18">
        <v>0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0</v>
      </c>
      <c r="G102" s="18">
        <v>0</v>
      </c>
      <c r="H102" s="18">
        <v>0</v>
      </c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0</v>
      </c>
      <c r="G103" s="24" t="s">
        <v>289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0</v>
      </c>
      <c r="G104" s="18">
        <v>0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>
        <v>0</v>
      </c>
      <c r="G106" s="18">
        <v>0</v>
      </c>
      <c r="H106" s="18">
        <v>0</v>
      </c>
      <c r="I106" s="18">
        <v>0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0</v>
      </c>
      <c r="G109" s="18">
        <v>0</v>
      </c>
      <c r="H109" s="18">
        <v>0</v>
      </c>
      <c r="I109" s="18">
        <v>0</v>
      </c>
      <c r="J109" s="18">
        <v>0</v>
      </c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0</v>
      </c>
      <c r="G110" s="41">
        <f>SUM(G95:G109)</f>
        <v>68903.929999999993</v>
      </c>
      <c r="H110" s="41">
        <f>SUM(H95:H109)</f>
        <v>0</v>
      </c>
      <c r="I110" s="41">
        <f>SUM(I95:I109)</f>
        <v>128.47</v>
      </c>
      <c r="J110" s="41">
        <f>SUM(J95:J109)</f>
        <v>713.62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4789865.46</v>
      </c>
      <c r="G111" s="41">
        <f>G59+G110</f>
        <v>68903.929999999993</v>
      </c>
      <c r="H111" s="41">
        <f>H59+H78+H93+H110</f>
        <v>0</v>
      </c>
      <c r="I111" s="41">
        <f>I59+I110</f>
        <v>128.47</v>
      </c>
      <c r="J111" s="41">
        <f>J59+J110</f>
        <v>713.62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3007805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921884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0</v>
      </c>
      <c r="G119" s="18">
        <v>0</v>
      </c>
      <c r="H119" s="18">
        <f>32629.77</f>
        <v>32629.77</v>
      </c>
      <c r="I119" s="18">
        <v>0</v>
      </c>
      <c r="J119" s="18">
        <v>0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3929689</v>
      </c>
      <c r="G120" s="41">
        <f>SUM(G116:G119)</f>
        <v>0</v>
      </c>
      <c r="H120" s="41">
        <f>SUM(H116:H119)</f>
        <v>32629.77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180046.78</v>
      </c>
      <c r="G122" s="24" t="s">
        <v>289</v>
      </c>
      <c r="H122" s="24" t="s">
        <v>289</v>
      </c>
      <c r="I122" s="18">
        <v>0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0</v>
      </c>
      <c r="G123" s="24"/>
      <c r="H123" s="24"/>
      <c r="I123" s="18">
        <v>0</v>
      </c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12874.18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8953.99</v>
      </c>
      <c r="G126" s="24" t="s">
        <v>289</v>
      </c>
      <c r="H126" s="18">
        <v>0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473.13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0</v>
      </c>
      <c r="G132" s="24" t="s">
        <v>289</v>
      </c>
      <c r="H132" s="18">
        <v>0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>
        <v>0</v>
      </c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201874.94999999998</v>
      </c>
      <c r="G135" s="41">
        <f>SUM(G122:G134)</f>
        <v>473.13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>
        <v>0</v>
      </c>
      <c r="G136" s="18">
        <v>0</v>
      </c>
      <c r="H136" s="18">
        <v>0</v>
      </c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>
        <v>0</v>
      </c>
      <c r="G137" s="24" t="s">
        <v>289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4131563.95</v>
      </c>
      <c r="G139" s="41">
        <f>G120+SUM(G135:G136)</f>
        <v>473.13</v>
      </c>
      <c r="H139" s="41">
        <f>H120+SUM(H135:H138)</f>
        <v>32629.77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v>0</v>
      </c>
      <c r="G144" s="18">
        <v>0</v>
      </c>
      <c r="H144" s="18">
        <v>0</v>
      </c>
      <c r="I144" s="18">
        <v>0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0</v>
      </c>
      <c r="G145" s="18">
        <v>0</v>
      </c>
      <c r="H145" s="18">
        <f>56128.13+182198.41+68247.62+311932.58+823.79</f>
        <v>619330.53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619330.53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>
        <v>0</v>
      </c>
      <c r="G149" s="24" t="s">
        <v>289</v>
      </c>
      <c r="H149" s="18">
        <v>0</v>
      </c>
      <c r="I149" s="18">
        <v>0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28066.31+2370.56+191339.97+2956.14</f>
        <v>224732.98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5416.72+4499.35+3726.95+28945.22+26104.06+4186.47</f>
        <v>72878.77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0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>
        <v>0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121957.27-473.13</f>
        <v>121484.14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0</v>
      </c>
      <c r="G158" s="24" t="s">
        <v>289</v>
      </c>
      <c r="H158" s="18">
        <v>0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110072.49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0</v>
      </c>
      <c r="G160" s="18">
        <v>15196.46</v>
      </c>
      <c r="H160" s="18">
        <v>0</v>
      </c>
      <c r="I160" s="18">
        <v>0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110072.49</v>
      </c>
      <c r="G161" s="41">
        <f>SUM(G149:G160)</f>
        <v>136680.6</v>
      </c>
      <c r="H161" s="41">
        <f>SUM(H149:H160)</f>
        <v>297611.75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>
        <v>0</v>
      </c>
      <c r="G162" s="18">
        <v>0</v>
      </c>
      <c r="H162" s="18">
        <v>0</v>
      </c>
      <c r="I162" s="18">
        <v>0</v>
      </c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0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0</v>
      </c>
      <c r="G167" s="18">
        <v>0</v>
      </c>
      <c r="H167" s="18">
        <v>0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110072.49</v>
      </c>
      <c r="G168" s="41">
        <f>G146+G161+SUM(G162:G167)</f>
        <v>136680.6</v>
      </c>
      <c r="H168" s="41">
        <f>H146+H161+SUM(H162:H167)</f>
        <v>916942.28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>
        <v>0</v>
      </c>
      <c r="G172" s="24" t="s">
        <v>289</v>
      </c>
      <c r="H172" s="24" t="s">
        <v>289</v>
      </c>
      <c r="I172" s="18">
        <v>0</v>
      </c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80132.490000000005</v>
      </c>
      <c r="H178" s="18">
        <v>0</v>
      </c>
      <c r="I178" s="18">
        <v>0</v>
      </c>
      <c r="J178" s="18">
        <v>75000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>
        <v>0</v>
      </c>
      <c r="G179" s="24" t="s">
        <v>289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v>0</v>
      </c>
      <c r="G180" s="18">
        <v>0</v>
      </c>
      <c r="H180" s="24" t="s">
        <v>289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>
        <v>0</v>
      </c>
      <c r="G181" s="18">
        <v>0</v>
      </c>
      <c r="H181" s="18">
        <v>0</v>
      </c>
      <c r="I181" s="24" t="s">
        <v>289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80132.490000000005</v>
      </c>
      <c r="H182" s="41">
        <f>SUM(H178:H181)</f>
        <v>0</v>
      </c>
      <c r="I182" s="41">
        <f>SUM(I178:I181)</f>
        <v>0</v>
      </c>
      <c r="J182" s="41">
        <f>SUM(J178:J181)</f>
        <v>75000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>
        <v>0</v>
      </c>
      <c r="G184" s="18">
        <v>0</v>
      </c>
      <c r="H184" s="18">
        <v>0</v>
      </c>
      <c r="I184" s="18">
        <v>0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>
        <v>0</v>
      </c>
      <c r="G188" s="18">
        <v>0</v>
      </c>
      <c r="H188" s="18">
        <v>0</v>
      </c>
      <c r="I188" s="18">
        <v>0</v>
      </c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80132.490000000005</v>
      </c>
      <c r="H191" s="41">
        <f>+H182+SUM(H187:H190)</f>
        <v>0</v>
      </c>
      <c r="I191" s="41">
        <f>I176+I182+SUM(I187:I190)</f>
        <v>0</v>
      </c>
      <c r="J191" s="41">
        <f>J182</f>
        <v>75000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9031501.9000000004</v>
      </c>
      <c r="G192" s="47">
        <f>G111+G139+G168+G191</f>
        <v>286190.15000000002</v>
      </c>
      <c r="H192" s="47">
        <f>H111+H139+H168+H191</f>
        <v>949572.05</v>
      </c>
      <c r="I192" s="47">
        <f>I111+I139+I168+I191</f>
        <v>128.47</v>
      </c>
      <c r="J192" s="47">
        <f>J111+J139+J191</f>
        <v>75713.62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1016898.93</v>
      </c>
      <c r="G196" s="18">
        <v>394712.43000000005</v>
      </c>
      <c r="H196" s="18">
        <v>10906.77</v>
      </c>
      <c r="I196" s="18">
        <v>37699.69</v>
      </c>
      <c r="J196" s="18">
        <v>5191.16</v>
      </c>
      <c r="K196" s="18">
        <v>393</v>
      </c>
      <c r="L196" s="19">
        <f>SUM(F196:K196)</f>
        <v>1465801.98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330869.98</v>
      </c>
      <c r="G197" s="18">
        <v>155586.67000000001</v>
      </c>
      <c r="H197" s="18">
        <v>780024.45</v>
      </c>
      <c r="I197" s="18">
        <v>1825</v>
      </c>
      <c r="J197" s="18">
        <v>453.84</v>
      </c>
      <c r="K197" s="18">
        <v>0</v>
      </c>
      <c r="L197" s="19">
        <f>SUM(F197:K197)</f>
        <v>1268759.9400000002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8600</v>
      </c>
      <c r="G199" s="18">
        <v>2624.4</v>
      </c>
      <c r="H199" s="18">
        <v>12781.52</v>
      </c>
      <c r="I199" s="18">
        <v>0</v>
      </c>
      <c r="J199" s="18">
        <v>0</v>
      </c>
      <c r="K199" s="18">
        <v>0</v>
      </c>
      <c r="L199" s="19">
        <f>SUM(F199:K199)</f>
        <v>24005.919999999998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84782</v>
      </c>
      <c r="G201" s="18">
        <v>26935.440000000002</v>
      </c>
      <c r="H201" s="18">
        <v>1669</v>
      </c>
      <c r="I201" s="18">
        <v>716.5</v>
      </c>
      <c r="J201" s="18">
        <v>0</v>
      </c>
      <c r="K201" s="18">
        <v>40</v>
      </c>
      <c r="L201" s="19">
        <f t="shared" ref="L201:L207" si="0">SUM(F201:K201)</f>
        <v>114142.94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42160</v>
      </c>
      <c r="G202" s="18">
        <v>27645.14</v>
      </c>
      <c r="H202" s="18">
        <v>4310.67</v>
      </c>
      <c r="I202" s="18">
        <v>7827.5400000000009</v>
      </c>
      <c r="J202" s="18">
        <v>299.99</v>
      </c>
      <c r="K202" s="18">
        <v>0</v>
      </c>
      <c r="L202" s="19">
        <f t="shared" si="0"/>
        <v>82243.340000000011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4647.82</v>
      </c>
      <c r="G203" s="18">
        <v>382.69</v>
      </c>
      <c r="H203" s="18">
        <v>164876.1</v>
      </c>
      <c r="I203" s="18">
        <v>0</v>
      </c>
      <c r="J203" s="18">
        <v>0</v>
      </c>
      <c r="K203" s="18">
        <v>1404.4</v>
      </c>
      <c r="L203" s="19">
        <f t="shared" si="0"/>
        <v>171311.01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160813.52999999997</v>
      </c>
      <c r="G204" s="18">
        <v>75979.350000000006</v>
      </c>
      <c r="H204" s="18">
        <v>8697.5500000000011</v>
      </c>
      <c r="I204" s="18">
        <v>7762.05</v>
      </c>
      <c r="J204" s="18">
        <v>832.89</v>
      </c>
      <c r="K204" s="18">
        <v>701.27</v>
      </c>
      <c r="L204" s="19">
        <f t="shared" si="0"/>
        <v>254786.63999999996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88857.579999999987</v>
      </c>
      <c r="G206" s="18">
        <v>46281.1</v>
      </c>
      <c r="H206" s="18">
        <v>169186.44</v>
      </c>
      <c r="I206" s="18">
        <v>80369.679999999993</v>
      </c>
      <c r="J206" s="18">
        <v>2988.58</v>
      </c>
      <c r="K206" s="18">
        <v>93.12</v>
      </c>
      <c r="L206" s="19">
        <f t="shared" si="0"/>
        <v>387776.5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59678.549999999996</v>
      </c>
      <c r="G207" s="18">
        <v>26886.26</v>
      </c>
      <c r="H207" s="18">
        <v>38989.870000000003</v>
      </c>
      <c r="I207" s="18">
        <v>28439.57</v>
      </c>
      <c r="J207" s="18">
        <v>553.4</v>
      </c>
      <c r="K207" s="18">
        <v>1420.25</v>
      </c>
      <c r="L207" s="19">
        <f t="shared" si="0"/>
        <v>155967.9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12854.93</v>
      </c>
      <c r="I208" s="18">
        <v>4138</v>
      </c>
      <c r="J208" s="18">
        <v>16952.55</v>
      </c>
      <c r="K208" s="18">
        <v>0</v>
      </c>
      <c r="L208" s="19">
        <f>SUM(F208:K208)</f>
        <v>33945.479999999996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1797308.3900000004</v>
      </c>
      <c r="G210" s="41">
        <f t="shared" si="1"/>
        <v>757033.4800000001</v>
      </c>
      <c r="H210" s="41">
        <f t="shared" si="1"/>
        <v>1204297.3</v>
      </c>
      <c r="I210" s="41">
        <f t="shared" si="1"/>
        <v>168778.03</v>
      </c>
      <c r="J210" s="41">
        <f t="shared" si="1"/>
        <v>27272.409999999996</v>
      </c>
      <c r="K210" s="41">
        <f t="shared" si="1"/>
        <v>4052.04</v>
      </c>
      <c r="L210" s="41">
        <f t="shared" si="1"/>
        <v>3958741.65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411162.82</v>
      </c>
      <c r="G214" s="18">
        <v>203109.80000000002</v>
      </c>
      <c r="H214" s="18">
        <v>12963.769999999999</v>
      </c>
      <c r="I214" s="18">
        <v>44836.959999999999</v>
      </c>
      <c r="J214" s="18">
        <v>2188.75</v>
      </c>
      <c r="K214" s="18">
        <v>0</v>
      </c>
      <c r="L214" s="19">
        <f>SUM(F214:K214)</f>
        <v>674262.1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178273.77000000002</v>
      </c>
      <c r="G215" s="18">
        <v>103981.96</v>
      </c>
      <c r="H215" s="18">
        <v>63254.560000000005</v>
      </c>
      <c r="I215" s="18">
        <v>546.86</v>
      </c>
      <c r="J215" s="18">
        <v>0</v>
      </c>
      <c r="K215" s="18">
        <v>0</v>
      </c>
      <c r="L215" s="19">
        <f>SUM(F215:K215)</f>
        <v>346057.15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31004.26</v>
      </c>
      <c r="G217" s="18">
        <v>13880.449999999999</v>
      </c>
      <c r="H217" s="18">
        <v>6388.59</v>
      </c>
      <c r="I217" s="18">
        <v>2910.35</v>
      </c>
      <c r="J217" s="18">
        <v>2155.44</v>
      </c>
      <c r="K217" s="18">
        <v>400</v>
      </c>
      <c r="L217" s="19">
        <f>SUM(F217:K217)</f>
        <v>56739.090000000004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68651.94</v>
      </c>
      <c r="G219" s="18">
        <v>37474.019999999997</v>
      </c>
      <c r="H219" s="18">
        <v>1335.42</v>
      </c>
      <c r="I219" s="18">
        <v>315.5</v>
      </c>
      <c r="J219" s="18">
        <v>0</v>
      </c>
      <c r="K219" s="18">
        <v>40</v>
      </c>
      <c r="L219" s="19">
        <f t="shared" ref="L219:L225" si="2">SUM(F219:K219)</f>
        <v>107816.87999999999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24146.720000000001</v>
      </c>
      <c r="G220" s="18">
        <v>16746.269999999997</v>
      </c>
      <c r="H220" s="18">
        <v>10653.3</v>
      </c>
      <c r="I220" s="18">
        <v>2972.2500000000005</v>
      </c>
      <c r="J220" s="18">
        <v>0</v>
      </c>
      <c r="K220" s="18">
        <v>0</v>
      </c>
      <c r="L220" s="19">
        <f t="shared" si="2"/>
        <v>54518.539999999994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2788.69</v>
      </c>
      <c r="G221" s="18">
        <v>238.53</v>
      </c>
      <c r="H221" s="18">
        <v>98909.599999999991</v>
      </c>
      <c r="I221" s="18">
        <v>0</v>
      </c>
      <c r="J221" s="18">
        <v>0</v>
      </c>
      <c r="K221" s="18">
        <v>842.64</v>
      </c>
      <c r="L221" s="19">
        <f t="shared" si="2"/>
        <v>102779.45999999999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69914.5</v>
      </c>
      <c r="G222" s="18">
        <v>35760.05999999999</v>
      </c>
      <c r="H222" s="18">
        <v>5748.52</v>
      </c>
      <c r="I222" s="18">
        <v>4446.05</v>
      </c>
      <c r="J222" s="18">
        <v>981.7</v>
      </c>
      <c r="K222" s="18">
        <v>370.57</v>
      </c>
      <c r="L222" s="19">
        <f t="shared" si="2"/>
        <v>117221.40000000001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45684.350000000006</v>
      </c>
      <c r="G224" s="18">
        <v>23564.429999999997</v>
      </c>
      <c r="H224" s="18">
        <v>28995.010000000002</v>
      </c>
      <c r="I224" s="18">
        <v>49523.33</v>
      </c>
      <c r="J224" s="18">
        <v>2467.8000000000002</v>
      </c>
      <c r="K224" s="18">
        <v>57.29</v>
      </c>
      <c r="L224" s="19">
        <f t="shared" si="2"/>
        <v>150292.21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>
        <v>50649.149999999994</v>
      </c>
      <c r="G225" s="18">
        <v>17691.05</v>
      </c>
      <c r="H225" s="18">
        <v>19509.760000000002</v>
      </c>
      <c r="I225" s="18">
        <v>16740.34</v>
      </c>
      <c r="J225" s="18">
        <v>332.04</v>
      </c>
      <c r="K225" s="18">
        <v>1506.58</v>
      </c>
      <c r="L225" s="19">
        <f t="shared" si="2"/>
        <v>106428.91999999998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>
        <v>0</v>
      </c>
      <c r="G226" s="18">
        <v>0</v>
      </c>
      <c r="H226" s="18">
        <v>7296.41</v>
      </c>
      <c r="I226" s="18">
        <v>385.2</v>
      </c>
      <c r="J226" s="18">
        <v>0</v>
      </c>
      <c r="K226" s="18">
        <v>0</v>
      </c>
      <c r="L226" s="19">
        <f>SUM(F226:K226)</f>
        <v>7681.61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882276.2</v>
      </c>
      <c r="G228" s="41">
        <f>SUM(G214:G227)</f>
        <v>452446.57000000007</v>
      </c>
      <c r="H228" s="41">
        <f>SUM(H214:H227)</f>
        <v>255054.94</v>
      </c>
      <c r="I228" s="41">
        <f>SUM(I214:I227)</f>
        <v>122676.84</v>
      </c>
      <c r="J228" s="41">
        <f>SUM(J214:J227)</f>
        <v>8125.7300000000005</v>
      </c>
      <c r="K228" s="41">
        <f t="shared" si="3"/>
        <v>3217.08</v>
      </c>
      <c r="L228" s="41">
        <f t="shared" si="3"/>
        <v>1723797.3599999999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656426.55000000005</v>
      </c>
      <c r="G232" s="18">
        <v>276655.78999999998</v>
      </c>
      <c r="H232" s="18">
        <v>14895.190000000002</v>
      </c>
      <c r="I232" s="18">
        <v>54924.34</v>
      </c>
      <c r="J232" s="18">
        <v>4845.09</v>
      </c>
      <c r="K232" s="18">
        <v>0</v>
      </c>
      <c r="L232" s="19">
        <f>SUM(F232:K232)</f>
        <v>1007746.96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269900.78000000003</v>
      </c>
      <c r="G233" s="18">
        <v>160763.81</v>
      </c>
      <c r="H233" s="18">
        <v>119715.09</v>
      </c>
      <c r="I233" s="18">
        <v>1395.28</v>
      </c>
      <c r="J233" s="18">
        <v>1204.96</v>
      </c>
      <c r="K233" s="18">
        <v>0</v>
      </c>
      <c r="L233" s="19">
        <f>SUM(F233:K233)</f>
        <v>552979.92000000004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42570</v>
      </c>
      <c r="G234" s="18">
        <v>13457.87</v>
      </c>
      <c r="H234" s="18">
        <v>33769.96</v>
      </c>
      <c r="I234" s="18">
        <v>0</v>
      </c>
      <c r="J234" s="18">
        <v>0</v>
      </c>
      <c r="K234" s="18">
        <v>0</v>
      </c>
      <c r="L234" s="19">
        <f>SUM(F234:K234)</f>
        <v>89797.83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55872</v>
      </c>
      <c r="G235" s="18">
        <v>6588.59</v>
      </c>
      <c r="H235" s="18">
        <v>16380</v>
      </c>
      <c r="I235" s="18">
        <v>4706.8100000000004</v>
      </c>
      <c r="J235" s="18">
        <v>5598.36</v>
      </c>
      <c r="K235" s="18">
        <v>2165</v>
      </c>
      <c r="L235" s="19">
        <f>SUM(F235:K235)</f>
        <v>91310.76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102977.78</v>
      </c>
      <c r="G237" s="18">
        <v>56096.570000000007</v>
      </c>
      <c r="H237" s="18">
        <v>11130.5</v>
      </c>
      <c r="I237" s="18">
        <v>1001.39</v>
      </c>
      <c r="J237" s="18">
        <v>0</v>
      </c>
      <c r="K237" s="18">
        <v>40</v>
      </c>
      <c r="L237" s="19">
        <f t="shared" ref="L237:L243" si="4">SUM(F237:K237)</f>
        <v>171246.24000000002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36220.28</v>
      </c>
      <c r="G238" s="18">
        <v>25586.74</v>
      </c>
      <c r="H238" s="18">
        <v>3040.12</v>
      </c>
      <c r="I238" s="18">
        <v>6583.98</v>
      </c>
      <c r="J238" s="18">
        <v>0</v>
      </c>
      <c r="K238" s="18"/>
      <c r="L238" s="19">
        <f t="shared" si="4"/>
        <v>71431.12000000001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4183.04</v>
      </c>
      <c r="G239" s="18">
        <v>353.04999999999995</v>
      </c>
      <c r="H239" s="18">
        <v>148364.38999999998</v>
      </c>
      <c r="I239" s="18">
        <v>0</v>
      </c>
      <c r="J239" s="18">
        <v>0</v>
      </c>
      <c r="K239" s="18">
        <v>1263.97</v>
      </c>
      <c r="L239" s="19">
        <f t="shared" si="4"/>
        <v>154164.44999999998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102487.08</v>
      </c>
      <c r="G240" s="18">
        <v>52008.81</v>
      </c>
      <c r="H240" s="18">
        <v>7161.2</v>
      </c>
      <c r="I240" s="18">
        <v>4324.91</v>
      </c>
      <c r="J240" s="18">
        <v>581.64</v>
      </c>
      <c r="K240" s="18">
        <v>1771.24</v>
      </c>
      <c r="L240" s="19">
        <f t="shared" si="4"/>
        <v>168334.88000000003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68526.53</v>
      </c>
      <c r="G242" s="18">
        <v>35269.06</v>
      </c>
      <c r="H242" s="18">
        <v>43492.53</v>
      </c>
      <c r="I242" s="18">
        <v>74285</v>
      </c>
      <c r="J242" s="18">
        <v>3701.7</v>
      </c>
      <c r="K242" s="18">
        <v>85.94</v>
      </c>
      <c r="L242" s="19">
        <f t="shared" si="4"/>
        <v>225360.76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75973.739999999991</v>
      </c>
      <c r="G243" s="18">
        <v>26450.549999999992</v>
      </c>
      <c r="H243" s="18">
        <v>29264.66</v>
      </c>
      <c r="I243" s="18">
        <v>25110.5</v>
      </c>
      <c r="J243" s="18">
        <v>498.06</v>
      </c>
      <c r="K243" s="18">
        <v>2259.86</v>
      </c>
      <c r="L243" s="19">
        <f t="shared" si="4"/>
        <v>159557.36999999997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9007.68</v>
      </c>
      <c r="I244" s="18">
        <v>577.79999999999995</v>
      </c>
      <c r="J244" s="18">
        <v>0</v>
      </c>
      <c r="K244" s="18">
        <v>0</v>
      </c>
      <c r="L244" s="19">
        <f>SUM(F244:K244)</f>
        <v>9585.48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1415137.7800000003</v>
      </c>
      <c r="G246" s="41">
        <f t="shared" si="5"/>
        <v>653230.84000000008</v>
      </c>
      <c r="H246" s="41">
        <f t="shared" si="5"/>
        <v>436221.31999999995</v>
      </c>
      <c r="I246" s="41">
        <f t="shared" si="5"/>
        <v>172910.00999999998</v>
      </c>
      <c r="J246" s="41">
        <f t="shared" si="5"/>
        <v>16429.810000000001</v>
      </c>
      <c r="K246" s="41">
        <f t="shared" si="5"/>
        <v>7586.01</v>
      </c>
      <c r="L246" s="41">
        <f t="shared" si="5"/>
        <v>2701515.77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>
        <v>0</v>
      </c>
      <c r="G249" s="18">
        <v>0</v>
      </c>
      <c r="H249" s="18">
        <v>0</v>
      </c>
      <c r="I249" s="18">
        <v>0</v>
      </c>
      <c r="J249" s="18">
        <v>0</v>
      </c>
      <c r="K249" s="18">
        <v>0</v>
      </c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4094722.3700000006</v>
      </c>
      <c r="G256" s="41">
        <f t="shared" si="8"/>
        <v>1862710.8900000004</v>
      </c>
      <c r="H256" s="41">
        <f t="shared" si="8"/>
        <v>1895573.56</v>
      </c>
      <c r="I256" s="41">
        <f t="shared" si="8"/>
        <v>464364.88</v>
      </c>
      <c r="J256" s="41">
        <f t="shared" si="8"/>
        <v>51827.95</v>
      </c>
      <c r="K256" s="41">
        <f t="shared" si="8"/>
        <v>14855.130000000001</v>
      </c>
      <c r="L256" s="41">
        <f t="shared" si="8"/>
        <v>8384054.7799999993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275000</v>
      </c>
      <c r="L259" s="19">
        <f>SUM(F259:K259)</f>
        <v>275000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106080.5</v>
      </c>
      <c r="L260" s="19">
        <f>SUM(F260:K260)</f>
        <v>106080.5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80132.490000000005</v>
      </c>
      <c r="L262" s="19">
        <f>SUM(F262:K262)</f>
        <v>80132.490000000005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0</v>
      </c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536212.99</v>
      </c>
      <c r="L269" s="41">
        <f t="shared" si="9"/>
        <v>536212.99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4094722.3700000006</v>
      </c>
      <c r="G270" s="42">
        <f t="shared" si="11"/>
        <v>1862710.8900000004</v>
      </c>
      <c r="H270" s="42">
        <f t="shared" si="11"/>
        <v>1895573.56</v>
      </c>
      <c r="I270" s="42">
        <f t="shared" si="11"/>
        <v>464364.88</v>
      </c>
      <c r="J270" s="42">
        <f t="shared" si="11"/>
        <v>51827.95</v>
      </c>
      <c r="K270" s="42">
        <f t="shared" si="11"/>
        <v>551068.12</v>
      </c>
      <c r="L270" s="42">
        <f t="shared" si="11"/>
        <v>8920267.7699999996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45979.88</v>
      </c>
      <c r="G275" s="18">
        <v>18517.770000000004</v>
      </c>
      <c r="H275" s="18">
        <v>6178.92</v>
      </c>
      <c r="I275" s="18">
        <v>3594.38</v>
      </c>
      <c r="J275" s="18">
        <v>0</v>
      </c>
      <c r="K275" s="18">
        <v>0</v>
      </c>
      <c r="L275" s="19">
        <f>SUM(F275:K275)</f>
        <v>74270.950000000012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978.54</v>
      </c>
      <c r="G276" s="18">
        <v>185.44</v>
      </c>
      <c r="H276" s="18">
        <v>0</v>
      </c>
      <c r="I276" s="18">
        <v>340.16</v>
      </c>
      <c r="J276" s="18">
        <v>0</v>
      </c>
      <c r="K276" s="18">
        <v>0</v>
      </c>
      <c r="L276" s="19">
        <f>SUM(F276:K276)</f>
        <v>1504.14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1208.5999999999999</v>
      </c>
      <c r="G281" s="18">
        <v>139.92000000000002</v>
      </c>
      <c r="H281" s="18">
        <v>35709.880000000005</v>
      </c>
      <c r="I281" s="18">
        <v>144.57</v>
      </c>
      <c r="J281" s="18">
        <v>0</v>
      </c>
      <c r="K281" s="18">
        <v>0</v>
      </c>
      <c r="L281" s="19">
        <f t="shared" si="12"/>
        <v>37202.97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0</v>
      </c>
      <c r="G282" s="18">
        <v>0</v>
      </c>
      <c r="H282" s="18">
        <v>0</v>
      </c>
      <c r="I282" s="18">
        <v>0</v>
      </c>
      <c r="J282" s="18">
        <v>0</v>
      </c>
      <c r="K282" s="18">
        <v>0</v>
      </c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16120.189999999999</v>
      </c>
      <c r="L284" s="19">
        <f t="shared" si="12"/>
        <v>16120.189999999999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>
        <v>0</v>
      </c>
      <c r="G286" s="18">
        <v>0</v>
      </c>
      <c r="H286" s="18">
        <v>1972.92</v>
      </c>
      <c r="I286" s="18">
        <v>0</v>
      </c>
      <c r="J286" s="18">
        <v>0</v>
      </c>
      <c r="K286" s="18">
        <v>0</v>
      </c>
      <c r="L286" s="19">
        <f t="shared" si="12"/>
        <v>1972.92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48167.02</v>
      </c>
      <c r="G289" s="42">
        <f t="shared" si="13"/>
        <v>18843.13</v>
      </c>
      <c r="H289" s="42">
        <f t="shared" si="13"/>
        <v>43861.72</v>
      </c>
      <c r="I289" s="42">
        <f t="shared" si="13"/>
        <v>4079.11</v>
      </c>
      <c r="J289" s="42">
        <f t="shared" si="13"/>
        <v>0</v>
      </c>
      <c r="K289" s="42">
        <f t="shared" si="13"/>
        <v>16120.189999999999</v>
      </c>
      <c r="L289" s="41">
        <f t="shared" si="13"/>
        <v>131071.17000000001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155312.81999999998</v>
      </c>
      <c r="G294" s="18">
        <v>70282.169999999969</v>
      </c>
      <c r="H294" s="18">
        <v>11913.940000000002</v>
      </c>
      <c r="I294" s="18">
        <v>4810.8000000000011</v>
      </c>
      <c r="J294" s="18">
        <v>50538.95</v>
      </c>
      <c r="K294" s="18">
        <v>0</v>
      </c>
      <c r="L294" s="19">
        <f>SUM(F294:K294)</f>
        <v>292858.67999999993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587.12</v>
      </c>
      <c r="G295" s="18">
        <v>111.25999999999999</v>
      </c>
      <c r="H295" s="18">
        <f>0</f>
        <v>0</v>
      </c>
      <c r="I295" s="18">
        <v>204.09</v>
      </c>
      <c r="J295" s="18">
        <v>0</v>
      </c>
      <c r="K295" s="18">
        <v>0</v>
      </c>
      <c r="L295" s="19">
        <f>SUM(F295:K295)</f>
        <v>902.47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0</v>
      </c>
      <c r="G299" s="18">
        <v>0</v>
      </c>
      <c r="H299" s="18">
        <v>0</v>
      </c>
      <c r="I299" s="18">
        <v>0</v>
      </c>
      <c r="J299" s="18">
        <v>0</v>
      </c>
      <c r="K299" s="18">
        <v>0</v>
      </c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725.16000000000008</v>
      </c>
      <c r="G300" s="18">
        <v>83.960000000000008</v>
      </c>
      <c r="H300" s="18">
        <v>78568.37000000001</v>
      </c>
      <c r="I300" s="18">
        <v>86.740000000000009</v>
      </c>
      <c r="J300" s="18">
        <v>0</v>
      </c>
      <c r="K300" s="18">
        <v>0</v>
      </c>
      <c r="L300" s="19">
        <f t="shared" si="14"/>
        <v>79464.23000000001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19503.59</v>
      </c>
      <c r="L303" s="19">
        <f t="shared" si="14"/>
        <v>19503.59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>
        <v>0</v>
      </c>
      <c r="G305" s="18">
        <v>0</v>
      </c>
      <c r="H305" s="18">
        <v>604.69000000000005</v>
      </c>
      <c r="I305" s="18">
        <v>0</v>
      </c>
      <c r="J305" s="18">
        <v>0</v>
      </c>
      <c r="K305" s="18">
        <v>0</v>
      </c>
      <c r="L305" s="19">
        <f t="shared" si="14"/>
        <v>604.69000000000005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156625.09999999998</v>
      </c>
      <c r="G308" s="42">
        <f t="shared" si="15"/>
        <v>70477.38999999997</v>
      </c>
      <c r="H308" s="42">
        <f t="shared" si="15"/>
        <v>91087.000000000015</v>
      </c>
      <c r="I308" s="42">
        <f t="shared" si="15"/>
        <v>5101.630000000001</v>
      </c>
      <c r="J308" s="42">
        <f t="shared" si="15"/>
        <v>50538.95</v>
      </c>
      <c r="K308" s="42">
        <f t="shared" si="15"/>
        <v>19503.59</v>
      </c>
      <c r="L308" s="41">
        <f t="shared" si="15"/>
        <v>393333.65999999992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146439.03999999998</v>
      </c>
      <c r="G313" s="18">
        <v>38947.069999999992</v>
      </c>
      <c r="H313" s="18">
        <v>17170.53</v>
      </c>
      <c r="I313" s="18">
        <v>17560.739999999998</v>
      </c>
      <c r="J313" s="18">
        <v>104971.47000000002</v>
      </c>
      <c r="K313" s="18">
        <v>0</v>
      </c>
      <c r="L313" s="19">
        <f>SUM(F313:K313)</f>
        <v>325088.84999999998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880.69</v>
      </c>
      <c r="G314" s="18">
        <v>166.88</v>
      </c>
      <c r="H314" s="18">
        <v>0</v>
      </c>
      <c r="I314" s="18">
        <v>306.14000000000004</v>
      </c>
      <c r="J314" s="18">
        <v>0</v>
      </c>
      <c r="K314" s="18">
        <v>0</v>
      </c>
      <c r="L314" s="19">
        <f>SUM(F314:K314)</f>
        <v>1353.7100000000003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0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1087.74</v>
      </c>
      <c r="G319" s="18">
        <v>125.94</v>
      </c>
      <c r="H319" s="18">
        <v>89556.880000000019</v>
      </c>
      <c r="I319" s="18">
        <v>130.12</v>
      </c>
      <c r="J319" s="18">
        <v>0</v>
      </c>
      <c r="K319" s="18">
        <v>0</v>
      </c>
      <c r="L319" s="19">
        <f t="shared" si="16"/>
        <v>90900.680000000008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4974.1099999999997</v>
      </c>
      <c r="L322" s="19">
        <f t="shared" si="16"/>
        <v>4974.1099999999997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>
        <v>0</v>
      </c>
      <c r="G324" s="18">
        <v>0</v>
      </c>
      <c r="H324" s="18">
        <v>2849.87</v>
      </c>
      <c r="I324" s="18">
        <v>0</v>
      </c>
      <c r="J324" s="18">
        <v>0</v>
      </c>
      <c r="K324" s="18">
        <v>0</v>
      </c>
      <c r="L324" s="19">
        <f t="shared" si="16"/>
        <v>2849.87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148407.46999999997</v>
      </c>
      <c r="G327" s="42">
        <f t="shared" si="17"/>
        <v>39239.889999999992</v>
      </c>
      <c r="H327" s="42">
        <f t="shared" si="17"/>
        <v>109577.28000000001</v>
      </c>
      <c r="I327" s="42">
        <f t="shared" si="17"/>
        <v>17996.999999999996</v>
      </c>
      <c r="J327" s="42">
        <f t="shared" si="17"/>
        <v>104971.47000000002</v>
      </c>
      <c r="K327" s="42">
        <f t="shared" si="17"/>
        <v>4974.1099999999997</v>
      </c>
      <c r="L327" s="41">
        <f t="shared" si="17"/>
        <v>425167.22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>
        <v>0</v>
      </c>
      <c r="G331" s="18">
        <v>0</v>
      </c>
      <c r="H331" s="18">
        <v>0</v>
      </c>
      <c r="I331" s="18">
        <v>0</v>
      </c>
      <c r="J331" s="18">
        <v>0</v>
      </c>
      <c r="K331" s="18">
        <v>0</v>
      </c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353199.58999999997</v>
      </c>
      <c r="G337" s="41">
        <f t="shared" si="20"/>
        <v>128560.40999999997</v>
      </c>
      <c r="H337" s="41">
        <f t="shared" si="20"/>
        <v>244526.00000000006</v>
      </c>
      <c r="I337" s="41">
        <f t="shared" si="20"/>
        <v>27177.739999999998</v>
      </c>
      <c r="J337" s="41">
        <f t="shared" si="20"/>
        <v>155510.42000000001</v>
      </c>
      <c r="K337" s="41">
        <f t="shared" si="20"/>
        <v>40597.89</v>
      </c>
      <c r="L337" s="41">
        <f t="shared" si="20"/>
        <v>949572.04999999993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>
        <v>0</v>
      </c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0</v>
      </c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>
        <v>0</v>
      </c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353199.58999999997</v>
      </c>
      <c r="G351" s="41">
        <f>G337</f>
        <v>128560.40999999997</v>
      </c>
      <c r="H351" s="41">
        <f>H337</f>
        <v>244526.00000000006</v>
      </c>
      <c r="I351" s="41">
        <f>I337</f>
        <v>27177.739999999998</v>
      </c>
      <c r="J351" s="41">
        <f>J337</f>
        <v>155510.42000000001</v>
      </c>
      <c r="K351" s="47">
        <f>K337+K350</f>
        <v>40597.89</v>
      </c>
      <c r="L351" s="41">
        <f>L337+L350</f>
        <v>949572.04999999993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53465.49</v>
      </c>
      <c r="G357" s="18">
        <v>19946.650000000001</v>
      </c>
      <c r="H357" s="18">
        <v>1636.75</v>
      </c>
      <c r="I357" s="18">
        <v>48330.14</v>
      </c>
      <c r="J357" s="18">
        <v>138</v>
      </c>
      <c r="K357" s="18">
        <v>76.900000000000006</v>
      </c>
      <c r="L357" s="13">
        <f>SUM(F357:K357)</f>
        <v>123593.93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32079.3</v>
      </c>
      <c r="G358" s="18">
        <v>11967.99</v>
      </c>
      <c r="H358" s="18">
        <v>982.05000000000007</v>
      </c>
      <c r="I358" s="18">
        <v>19880.21</v>
      </c>
      <c r="J358" s="18">
        <v>82.8</v>
      </c>
      <c r="K358" s="18">
        <v>46.14</v>
      </c>
      <c r="L358" s="19">
        <f>SUM(F358:K358)</f>
        <v>65038.490000000005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48118.95</v>
      </c>
      <c r="G359" s="18">
        <v>17951.980000000003</v>
      </c>
      <c r="H359" s="18">
        <v>1473.0700000000002</v>
      </c>
      <c r="I359" s="18">
        <v>29820.32</v>
      </c>
      <c r="J359" s="18">
        <v>124.2</v>
      </c>
      <c r="K359" s="18">
        <v>69.209999999999994</v>
      </c>
      <c r="L359" s="19">
        <f>SUM(F359:K359)</f>
        <v>97557.73000000001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>
        <v>0</v>
      </c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133663.74</v>
      </c>
      <c r="G361" s="47">
        <f t="shared" si="22"/>
        <v>49866.62</v>
      </c>
      <c r="H361" s="47">
        <f t="shared" si="22"/>
        <v>4091.8700000000003</v>
      </c>
      <c r="I361" s="47">
        <f t="shared" si="22"/>
        <v>98030.670000000013</v>
      </c>
      <c r="J361" s="47">
        <f t="shared" si="22"/>
        <v>345</v>
      </c>
      <c r="K361" s="47">
        <f t="shared" si="22"/>
        <v>192.25</v>
      </c>
      <c r="L361" s="47">
        <f t="shared" si="22"/>
        <v>286190.15000000002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47469.93</v>
      </c>
      <c r="G366" s="18">
        <v>19364.09</v>
      </c>
      <c r="H366" s="18">
        <v>29046.13</v>
      </c>
      <c r="I366" s="56">
        <f>SUM(F366:H366)</f>
        <v>95880.150000000009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860.21</v>
      </c>
      <c r="G367" s="63">
        <v>516.12</v>
      </c>
      <c r="H367" s="63">
        <v>774.19</v>
      </c>
      <c r="I367" s="56">
        <f>SUM(F367:H367)</f>
        <v>2150.52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48330.14</v>
      </c>
      <c r="G368" s="47">
        <f>SUM(G366:G367)</f>
        <v>19880.21</v>
      </c>
      <c r="H368" s="47">
        <f>SUM(H366:H367)</f>
        <v>29820.32</v>
      </c>
      <c r="I368" s="47">
        <f>SUM(I366:I367)</f>
        <v>98030.670000000013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>
        <v>0</v>
      </c>
      <c r="G386" s="18">
        <v>0</v>
      </c>
      <c r="H386" s="18">
        <v>0</v>
      </c>
      <c r="I386" s="18">
        <v>0</v>
      </c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>
        <v>0</v>
      </c>
      <c r="G389" s="18">
        <v>0</v>
      </c>
      <c r="H389" s="18">
        <v>61.76</v>
      </c>
      <c r="I389" s="18">
        <v>0</v>
      </c>
      <c r="J389" s="24" t="s">
        <v>289</v>
      </c>
      <c r="K389" s="24" t="s">
        <v>289</v>
      </c>
      <c r="L389" s="56">
        <f t="shared" si="25"/>
        <v>61.76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61.76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61.76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>
        <v>0</v>
      </c>
      <c r="G394" s="18">
        <v>0</v>
      </c>
      <c r="H394" s="18">
        <v>0</v>
      </c>
      <c r="I394" s="18">
        <v>0</v>
      </c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>
        <v>0</v>
      </c>
      <c r="G395" s="18">
        <v>50000</v>
      </c>
      <c r="H395" s="18">
        <v>421.9</v>
      </c>
      <c r="I395" s="18">
        <v>0</v>
      </c>
      <c r="J395" s="24" t="s">
        <v>289</v>
      </c>
      <c r="K395" s="24" t="s">
        <v>289</v>
      </c>
      <c r="L395" s="56">
        <f t="shared" si="26"/>
        <v>50421.9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>
        <v>0</v>
      </c>
      <c r="G396" s="18">
        <v>25000</v>
      </c>
      <c r="H396" s="18">
        <v>218.85</v>
      </c>
      <c r="I396" s="18">
        <v>0</v>
      </c>
      <c r="J396" s="24" t="s">
        <v>289</v>
      </c>
      <c r="K396" s="24" t="s">
        <v>289</v>
      </c>
      <c r="L396" s="56">
        <f t="shared" si="26"/>
        <v>25218.85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>
        <v>0</v>
      </c>
      <c r="G398" s="18">
        <v>0</v>
      </c>
      <c r="H398" s="18">
        <v>11.11</v>
      </c>
      <c r="I398" s="18">
        <v>0</v>
      </c>
      <c r="J398" s="24" t="s">
        <v>289</v>
      </c>
      <c r="K398" s="24" t="s">
        <v>289</v>
      </c>
      <c r="L398" s="56">
        <f t="shared" si="26"/>
        <v>11.11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75000</v>
      </c>
      <c r="H400" s="47">
        <f>SUM(H394:H399)</f>
        <v>651.86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75651.86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>
        <v>0</v>
      </c>
      <c r="G402" s="18">
        <v>0</v>
      </c>
      <c r="H402" s="18">
        <v>0</v>
      </c>
      <c r="I402" s="18">
        <v>0</v>
      </c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75000</v>
      </c>
      <c r="H407" s="47">
        <f>H392+H400+H406</f>
        <v>713.62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75713.62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>
        <v>0</v>
      </c>
      <c r="G414" s="18">
        <v>0</v>
      </c>
      <c r="H414" s="18">
        <v>60684</v>
      </c>
      <c r="I414" s="18">
        <v>0</v>
      </c>
      <c r="J414" s="18">
        <v>0</v>
      </c>
      <c r="K414" s="18">
        <v>0</v>
      </c>
      <c r="L414" s="56">
        <f t="shared" si="27"/>
        <v>60684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60684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60684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>
        <v>0</v>
      </c>
      <c r="G428" s="18">
        <v>0</v>
      </c>
      <c r="H428" s="18">
        <v>0</v>
      </c>
      <c r="I428" s="18">
        <v>0</v>
      </c>
      <c r="J428" s="18">
        <v>0</v>
      </c>
      <c r="K428" s="18">
        <v>0</v>
      </c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60684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60684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0</v>
      </c>
      <c r="G438" s="18">
        <v>0</v>
      </c>
      <c r="H438" s="18">
        <v>0</v>
      </c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100507.88</v>
      </c>
      <c r="G439" s="18">
        <v>0</v>
      </c>
      <c r="H439" s="18">
        <v>0</v>
      </c>
      <c r="I439" s="56">
        <f t="shared" si="33"/>
        <v>100507.88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100507.88</v>
      </c>
      <c r="G445" s="13">
        <f>SUM(G438:G444)</f>
        <v>0</v>
      </c>
      <c r="H445" s="13">
        <f>SUM(H438:H444)</f>
        <v>0</v>
      </c>
      <c r="I445" s="13">
        <f>SUM(I438:I444)</f>
        <v>100507.88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>
        <v>0</v>
      </c>
      <c r="G447" s="18">
        <v>0</v>
      </c>
      <c r="H447" s="18">
        <v>0</v>
      </c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>
        <v>0</v>
      </c>
      <c r="G453" s="18">
        <v>0</v>
      </c>
      <c r="H453" s="18">
        <v>0</v>
      </c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>
        <v>0</v>
      </c>
      <c r="G454" s="18">
        <v>0</v>
      </c>
      <c r="H454" s="18">
        <v>0</v>
      </c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100507.88</v>
      </c>
      <c r="G458" s="18">
        <v>0</v>
      </c>
      <c r="H458" s="18">
        <v>0</v>
      </c>
      <c r="I458" s="56">
        <f t="shared" si="34"/>
        <v>100507.88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100507.88</v>
      </c>
      <c r="G459" s="83">
        <f>SUM(G453:G458)</f>
        <v>0</v>
      </c>
      <c r="H459" s="83">
        <f>SUM(H453:H458)</f>
        <v>0</v>
      </c>
      <c r="I459" s="83">
        <f>SUM(I453:I458)</f>
        <v>100507.88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100507.88</v>
      </c>
      <c r="G460" s="42">
        <f>G451+G459</f>
        <v>0</v>
      </c>
      <c r="H460" s="42">
        <f>H451+H459</f>
        <v>0</v>
      </c>
      <c r="I460" s="42">
        <f>I451+I459</f>
        <v>100507.88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233803.13</v>
      </c>
      <c r="G464" s="18">
        <v>0</v>
      </c>
      <c r="H464" s="18">
        <v>0</v>
      </c>
      <c r="I464" s="18">
        <v>194209.4</v>
      </c>
      <c r="J464" s="18">
        <v>85478.26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9031501.9000000004</v>
      </c>
      <c r="G467" s="18">
        <f>G192</f>
        <v>286190.15000000002</v>
      </c>
      <c r="H467" s="18">
        <f>H192</f>
        <v>949572.05</v>
      </c>
      <c r="I467" s="18">
        <v>128.47</v>
      </c>
      <c r="J467" s="18">
        <f>75000+713.62</f>
        <v>75713.62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f>345984.93-345037.26</f>
        <v>947.6699999999837</v>
      </c>
      <c r="G468" s="18">
        <v>0</v>
      </c>
      <c r="H468" s="18">
        <v>0</v>
      </c>
      <c r="I468" s="18">
        <v>0</v>
      </c>
      <c r="J468" s="18">
        <v>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9032449.5700000003</v>
      </c>
      <c r="G469" s="53">
        <f>SUM(G467:G468)</f>
        <v>286190.15000000002</v>
      </c>
      <c r="H469" s="53">
        <f>SUM(H467:H468)</f>
        <v>949572.05</v>
      </c>
      <c r="I469" s="53">
        <f>SUM(I467:I468)</f>
        <v>128.47</v>
      </c>
      <c r="J469" s="53">
        <f>SUM(J467:J468)</f>
        <v>75713.62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8920267.7699999996</v>
      </c>
      <c r="G471" s="18">
        <f>L361</f>
        <v>286190.15000000002</v>
      </c>
      <c r="H471" s="18">
        <f>L337</f>
        <v>949572.04999999993</v>
      </c>
      <c r="I471" s="18">
        <v>0</v>
      </c>
      <c r="J471" s="18">
        <v>60684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v>0</v>
      </c>
      <c r="G472" s="18">
        <v>0</v>
      </c>
      <c r="H472" s="18">
        <v>0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8920267.7699999996</v>
      </c>
      <c r="G473" s="53">
        <f>SUM(G471:G472)</f>
        <v>286190.15000000002</v>
      </c>
      <c r="H473" s="53">
        <f>SUM(H471:H472)</f>
        <v>949572.04999999993</v>
      </c>
      <c r="I473" s="53">
        <f>SUM(I471:I472)</f>
        <v>0</v>
      </c>
      <c r="J473" s="53">
        <f>SUM(J471:J472)</f>
        <v>60684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345984.93000000156</v>
      </c>
      <c r="G475" s="53">
        <f>(G464+G469)- G473</f>
        <v>0</v>
      </c>
      <c r="H475" s="53">
        <f>(H464+H469)- H473</f>
        <v>0</v>
      </c>
      <c r="I475" s="53">
        <f>(I464+I469)- I473</f>
        <v>194337.87</v>
      </c>
      <c r="J475" s="53">
        <f>(J464+J469)- J473</f>
        <v>100507.88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8">
        <v>0</v>
      </c>
      <c r="H489" s="18">
        <v>0</v>
      </c>
      <c r="I489" s="18">
        <v>0</v>
      </c>
      <c r="J489" s="18">
        <v>0</v>
      </c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911</v>
      </c>
      <c r="G490" s="18">
        <v>0</v>
      </c>
      <c r="H490" s="18">
        <v>0</v>
      </c>
      <c r="I490" s="18">
        <v>0</v>
      </c>
      <c r="J490" s="18">
        <v>0</v>
      </c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912</v>
      </c>
      <c r="G491" s="18">
        <v>0</v>
      </c>
      <c r="H491" s="18">
        <v>0</v>
      </c>
      <c r="I491" s="18">
        <v>0</v>
      </c>
      <c r="J491" s="18">
        <v>0</v>
      </c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4097790</v>
      </c>
      <c r="G492" s="18">
        <v>0</v>
      </c>
      <c r="H492" s="18">
        <v>0</v>
      </c>
      <c r="I492" s="18">
        <v>0</v>
      </c>
      <c r="J492" s="18">
        <v>0</v>
      </c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5</v>
      </c>
      <c r="G493" s="18">
        <v>0</v>
      </c>
      <c r="H493" s="18">
        <v>0</v>
      </c>
      <c r="I493" s="18">
        <v>0</v>
      </c>
      <c r="J493" s="18">
        <v>0</v>
      </c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2450000</v>
      </c>
      <c r="G494" s="18">
        <v>0</v>
      </c>
      <c r="H494" s="18">
        <v>0</v>
      </c>
      <c r="I494" s="18">
        <v>0</v>
      </c>
      <c r="J494" s="18">
        <v>0</v>
      </c>
      <c r="K494" s="53">
        <f>SUM(F494:J494)</f>
        <v>2450000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2175000</v>
      </c>
      <c r="G495" s="18">
        <v>0</v>
      </c>
      <c r="H495" s="18">
        <v>0</v>
      </c>
      <c r="I495" s="18">
        <v>0</v>
      </c>
      <c r="J495" s="18">
        <v>0</v>
      </c>
      <c r="K495" s="53">
        <f t="shared" ref="K495:K502" si="35">SUM(F495:J495)</f>
        <v>2175000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275000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si="35"/>
        <v>275000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2175000</v>
      </c>
      <c r="G497" s="18">
        <v>0</v>
      </c>
      <c r="H497" s="18">
        <v>0</v>
      </c>
      <c r="I497" s="18">
        <v>0</v>
      </c>
      <c r="J497" s="18">
        <v>0</v>
      </c>
      <c r="K497" s="205">
        <f t="shared" si="35"/>
        <v>2175000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48306.75+44023.75+41431.75+37148.75+34556.75+30273.75+27681.75+23523.75+20931.75+16773.75+16773.75+11238.75+11238.75+5670+5670</f>
        <v>375243.75</v>
      </c>
      <c r="G498" s="18">
        <v>0</v>
      </c>
      <c r="H498" s="18">
        <v>0</v>
      </c>
      <c r="I498" s="18">
        <v>0</v>
      </c>
      <c r="J498" s="18">
        <v>0</v>
      </c>
      <c r="K498" s="53">
        <f t="shared" si="35"/>
        <v>375243.75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2550243.75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2550243.75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275000</v>
      </c>
      <c r="G500" s="18">
        <v>0</v>
      </c>
      <c r="H500" s="18">
        <v>0</v>
      </c>
      <c r="I500" s="18">
        <v>0</v>
      </c>
      <c r="J500" s="18">
        <v>0</v>
      </c>
      <c r="K500" s="205">
        <f t="shared" si="35"/>
        <v>275000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f>48306.75+44023.75</f>
        <v>92330.5</v>
      </c>
      <c r="G501" s="18">
        <v>0</v>
      </c>
      <c r="H501" s="18">
        <v>0</v>
      </c>
      <c r="I501" s="18">
        <v>0</v>
      </c>
      <c r="J501" s="18">
        <v>0</v>
      </c>
      <c r="K501" s="53">
        <f t="shared" si="35"/>
        <v>92330.5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367330.5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367330.5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>
        <v>0</v>
      </c>
      <c r="G510" s="24" t="s">
        <v>289</v>
      </c>
      <c r="H510" s="18">
        <v>0</v>
      </c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54">
        <v>0</v>
      </c>
      <c r="H515" s="24" t="s">
        <v>289</v>
      </c>
      <c r="I515" s="154">
        <v>0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</f>
        <v>330869.98</v>
      </c>
      <c r="G520" s="18">
        <f>G197</f>
        <v>155586.67000000001</v>
      </c>
      <c r="H520" s="18">
        <f t="shared" ref="H520:K520" si="36">H197</f>
        <v>780024.45</v>
      </c>
      <c r="I520" s="18">
        <f t="shared" si="36"/>
        <v>1825</v>
      </c>
      <c r="J520" s="18">
        <f t="shared" si="36"/>
        <v>453.84</v>
      </c>
      <c r="K520" s="18">
        <f t="shared" si="36"/>
        <v>0</v>
      </c>
      <c r="L520" s="88">
        <f>SUM(F520:K520)</f>
        <v>1268759.9400000002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F215</f>
        <v>178273.77000000002</v>
      </c>
      <c r="G521" s="18">
        <f t="shared" ref="G521:K521" si="37">G215</f>
        <v>103981.96</v>
      </c>
      <c r="H521" s="18">
        <f t="shared" si="37"/>
        <v>63254.560000000005</v>
      </c>
      <c r="I521" s="18">
        <f t="shared" si="37"/>
        <v>546.86</v>
      </c>
      <c r="J521" s="18">
        <f t="shared" si="37"/>
        <v>0</v>
      </c>
      <c r="K521" s="18">
        <f t="shared" si="37"/>
        <v>0</v>
      </c>
      <c r="L521" s="88">
        <f>SUM(F521:K521)</f>
        <v>346057.15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</f>
        <v>269900.78000000003</v>
      </c>
      <c r="G522" s="18">
        <f t="shared" ref="G522:K522" si="38">G233</f>
        <v>160763.81</v>
      </c>
      <c r="H522" s="18">
        <f t="shared" si="38"/>
        <v>119715.09</v>
      </c>
      <c r="I522" s="18">
        <f t="shared" si="38"/>
        <v>1395.28</v>
      </c>
      <c r="J522" s="18">
        <f t="shared" si="38"/>
        <v>1204.96</v>
      </c>
      <c r="K522" s="18">
        <f t="shared" si="38"/>
        <v>0</v>
      </c>
      <c r="L522" s="88">
        <f>SUM(F522:K522)</f>
        <v>552979.92000000004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779044.53</v>
      </c>
      <c r="G523" s="108">
        <f t="shared" ref="G523:L523" si="39">SUM(G520:G522)</f>
        <v>420332.44</v>
      </c>
      <c r="H523" s="108">
        <f t="shared" si="39"/>
        <v>962994.1</v>
      </c>
      <c r="I523" s="108">
        <f t="shared" si="39"/>
        <v>3767.1400000000003</v>
      </c>
      <c r="J523" s="108">
        <f t="shared" si="39"/>
        <v>1658.8</v>
      </c>
      <c r="K523" s="108">
        <f t="shared" si="39"/>
        <v>0</v>
      </c>
      <c r="L523" s="89">
        <f t="shared" si="39"/>
        <v>2167797.0100000002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0</v>
      </c>
      <c r="G525" s="18">
        <v>10</v>
      </c>
      <c r="H525" s="18">
        <v>296641.12</v>
      </c>
      <c r="I525" s="18">
        <v>0</v>
      </c>
      <c r="J525" s="18">
        <v>0</v>
      </c>
      <c r="K525" s="18">
        <v>0</v>
      </c>
      <c r="L525" s="88">
        <f>SUM(F525:K525)</f>
        <v>296651.12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0</v>
      </c>
      <c r="G526" s="18">
        <v>0</v>
      </c>
      <c r="H526" s="18">
        <v>483</v>
      </c>
      <c r="I526" s="18">
        <v>0</v>
      </c>
      <c r="J526" s="18">
        <v>0</v>
      </c>
      <c r="K526" s="18">
        <v>0</v>
      </c>
      <c r="L526" s="88">
        <f>SUM(F526:K526)</f>
        <v>483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0</v>
      </c>
      <c r="G527" s="18">
        <v>0</v>
      </c>
      <c r="H527" s="18">
        <v>29520.63</v>
      </c>
      <c r="I527" s="18">
        <v>0</v>
      </c>
      <c r="J527" s="18">
        <v>0</v>
      </c>
      <c r="K527" s="18">
        <v>0</v>
      </c>
      <c r="L527" s="88">
        <f>SUM(F527:K527)</f>
        <v>29520.63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40">SUM(G525:G527)</f>
        <v>10</v>
      </c>
      <c r="H528" s="89">
        <f t="shared" si="40"/>
        <v>326644.75</v>
      </c>
      <c r="I528" s="89">
        <f t="shared" si="40"/>
        <v>0</v>
      </c>
      <c r="J528" s="89">
        <f t="shared" si="40"/>
        <v>0</v>
      </c>
      <c r="K528" s="89">
        <f t="shared" si="40"/>
        <v>0</v>
      </c>
      <c r="L528" s="89">
        <f t="shared" si="40"/>
        <v>326654.75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8710.56</v>
      </c>
      <c r="G530" s="18">
        <v>2402.3807999999999</v>
      </c>
      <c r="H530" s="18">
        <v>39.42</v>
      </c>
      <c r="I530" s="18">
        <v>42.307200000000002</v>
      </c>
      <c r="J530" s="18">
        <v>0</v>
      </c>
      <c r="K530" s="18">
        <v>0</v>
      </c>
      <c r="L530" s="88">
        <f>SUM(F530:K530)</f>
        <v>11194.668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3653.4186</v>
      </c>
      <c r="G531" s="18">
        <v>1869.327</v>
      </c>
      <c r="H531" s="18">
        <v>0</v>
      </c>
      <c r="I531" s="18">
        <v>0</v>
      </c>
      <c r="J531" s="18">
        <v>0</v>
      </c>
      <c r="K531" s="18">
        <v>0</v>
      </c>
      <c r="L531" s="88">
        <f>SUM(F531:K531)</f>
        <v>5522.7456000000002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5480.1414000000004</v>
      </c>
      <c r="G532" s="18">
        <v>2804.1965999999998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8284.3379999999997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17844.12</v>
      </c>
      <c r="G533" s="89">
        <f t="shared" ref="G533:L533" si="41">SUM(G530:G532)</f>
        <v>7075.9043999999994</v>
      </c>
      <c r="H533" s="89">
        <f t="shared" si="41"/>
        <v>39.42</v>
      </c>
      <c r="I533" s="89">
        <f t="shared" si="41"/>
        <v>42.307200000000002</v>
      </c>
      <c r="J533" s="89">
        <f t="shared" si="41"/>
        <v>0</v>
      </c>
      <c r="K533" s="89">
        <f t="shared" si="41"/>
        <v>0</v>
      </c>
      <c r="L533" s="89">
        <f t="shared" si="41"/>
        <v>25001.7516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>
        <v>0</v>
      </c>
      <c r="G535" s="18">
        <v>0</v>
      </c>
      <c r="H535" s="18">
        <v>0</v>
      </c>
      <c r="I535" s="18">
        <v>0</v>
      </c>
      <c r="J535" s="18">
        <v>0</v>
      </c>
      <c r="K535" s="18">
        <v>0</v>
      </c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0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>
        <v>23366.14</v>
      </c>
      <c r="G540" s="18">
        <v>1830.73</v>
      </c>
      <c r="H540" s="18">
        <v>8007.64</v>
      </c>
      <c r="I540" s="18">
        <v>0</v>
      </c>
      <c r="J540" s="18">
        <v>0</v>
      </c>
      <c r="K540" s="18">
        <v>0</v>
      </c>
      <c r="L540" s="88">
        <f>SUM(F540:K540)</f>
        <v>33204.51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>
        <v>13978.59</v>
      </c>
      <c r="G541" s="18">
        <v>1140.74</v>
      </c>
      <c r="H541" s="18">
        <v>792</v>
      </c>
      <c r="I541" s="18">
        <v>0</v>
      </c>
      <c r="J541" s="18">
        <v>0</v>
      </c>
      <c r="K541" s="18">
        <v>0</v>
      </c>
      <c r="L541" s="88">
        <f>SUM(F541:K541)</f>
        <v>15911.33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>
        <v>20967.89</v>
      </c>
      <c r="G542" s="18">
        <v>1711.12</v>
      </c>
      <c r="H542" s="18">
        <v>1188</v>
      </c>
      <c r="I542" s="18">
        <v>0</v>
      </c>
      <c r="J542" s="18">
        <v>0</v>
      </c>
      <c r="K542" s="18">
        <v>0</v>
      </c>
      <c r="L542" s="88">
        <f>SUM(F542:K542)</f>
        <v>23867.01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58312.619999999995</v>
      </c>
      <c r="G543" s="193">
        <f t="shared" ref="G543:L543" si="43">SUM(G540:G542)</f>
        <v>4682.59</v>
      </c>
      <c r="H543" s="193">
        <f t="shared" si="43"/>
        <v>9987.64</v>
      </c>
      <c r="I543" s="193">
        <f t="shared" si="43"/>
        <v>0</v>
      </c>
      <c r="J543" s="193">
        <f t="shared" si="43"/>
        <v>0</v>
      </c>
      <c r="K543" s="193">
        <f t="shared" si="43"/>
        <v>0</v>
      </c>
      <c r="L543" s="193">
        <f t="shared" si="43"/>
        <v>72982.850000000006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855201.27</v>
      </c>
      <c r="G544" s="89">
        <f t="shared" ref="G544:L544" si="44">G523+G528+G533+G538+G543</f>
        <v>432100.93440000003</v>
      </c>
      <c r="H544" s="89">
        <f t="shared" si="44"/>
        <v>1299665.9099999999</v>
      </c>
      <c r="I544" s="89">
        <f t="shared" si="44"/>
        <v>3809.4472000000005</v>
      </c>
      <c r="J544" s="89">
        <f t="shared" si="44"/>
        <v>1658.8</v>
      </c>
      <c r="K544" s="89">
        <f t="shared" si="44"/>
        <v>0</v>
      </c>
      <c r="L544" s="89">
        <f t="shared" si="44"/>
        <v>2592436.3616000004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1268759.9400000002</v>
      </c>
      <c r="G548" s="87">
        <f>L525</f>
        <v>296651.12</v>
      </c>
      <c r="H548" s="87">
        <f>L530</f>
        <v>11194.668</v>
      </c>
      <c r="I548" s="87">
        <f>L535</f>
        <v>0</v>
      </c>
      <c r="J548" s="87">
        <f>L540</f>
        <v>33204.51</v>
      </c>
      <c r="K548" s="87">
        <f>SUM(F548:J548)</f>
        <v>1609810.2380000001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346057.15</v>
      </c>
      <c r="G549" s="87">
        <f>L526</f>
        <v>483</v>
      </c>
      <c r="H549" s="87">
        <f>L531</f>
        <v>5522.7456000000002</v>
      </c>
      <c r="I549" s="87">
        <f>L536</f>
        <v>0</v>
      </c>
      <c r="J549" s="87">
        <f>L541</f>
        <v>15911.33</v>
      </c>
      <c r="K549" s="87">
        <f>SUM(F549:J549)</f>
        <v>367974.22560000006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552979.92000000004</v>
      </c>
      <c r="G550" s="87">
        <f>L527</f>
        <v>29520.63</v>
      </c>
      <c r="H550" s="87">
        <f>L532</f>
        <v>8284.3379999999997</v>
      </c>
      <c r="I550" s="87">
        <f>L537</f>
        <v>0</v>
      </c>
      <c r="J550" s="87">
        <f>L542</f>
        <v>23867.01</v>
      </c>
      <c r="K550" s="87">
        <f>SUM(F550:J550)</f>
        <v>614651.89800000004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2167797.0100000002</v>
      </c>
      <c r="G551" s="89">
        <f t="shared" si="45"/>
        <v>326654.75</v>
      </c>
      <c r="H551" s="89">
        <f t="shared" si="45"/>
        <v>25001.7516</v>
      </c>
      <c r="I551" s="89">
        <f t="shared" si="45"/>
        <v>0</v>
      </c>
      <c r="J551" s="89">
        <f t="shared" si="45"/>
        <v>72982.850000000006</v>
      </c>
      <c r="K551" s="89">
        <f t="shared" si="45"/>
        <v>2592436.3616000004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0</v>
      </c>
      <c r="G556" s="18">
        <v>0</v>
      </c>
      <c r="H556" s="18">
        <v>0</v>
      </c>
      <c r="I556" s="18">
        <v>0</v>
      </c>
      <c r="J556" s="18">
        <v>0</v>
      </c>
      <c r="K556" s="18">
        <v>0</v>
      </c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6">SUM(F556:F558)</f>
        <v>0</v>
      </c>
      <c r="G559" s="108">
        <f t="shared" si="46"/>
        <v>0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0</v>
      </c>
      <c r="G561" s="18">
        <v>0</v>
      </c>
      <c r="H561" s="18">
        <v>0</v>
      </c>
      <c r="I561" s="18">
        <v>0</v>
      </c>
      <c r="J561" s="18">
        <v>0</v>
      </c>
      <c r="K561" s="18">
        <v>0</v>
      </c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7">SUM(F561:F563)</f>
        <v>0</v>
      </c>
      <c r="G564" s="89">
        <f t="shared" si="47"/>
        <v>0</v>
      </c>
      <c r="H564" s="89">
        <f t="shared" si="47"/>
        <v>0</v>
      </c>
      <c r="I564" s="89">
        <f t="shared" si="47"/>
        <v>0</v>
      </c>
      <c r="J564" s="89">
        <f t="shared" si="47"/>
        <v>0</v>
      </c>
      <c r="K564" s="89">
        <f t="shared" si="47"/>
        <v>0</v>
      </c>
      <c r="L564" s="89">
        <f t="shared" si="47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>
        <v>0</v>
      </c>
      <c r="G566" s="18">
        <v>0</v>
      </c>
      <c r="H566" s="18">
        <v>0</v>
      </c>
      <c r="I566" s="18">
        <v>0</v>
      </c>
      <c r="J566" s="18">
        <v>0</v>
      </c>
      <c r="K566" s="18">
        <v>0</v>
      </c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8">SUM(G566:G568)</f>
        <v>0</v>
      </c>
      <c r="H569" s="193">
        <f t="shared" si="48"/>
        <v>0</v>
      </c>
      <c r="I569" s="193">
        <f t="shared" si="48"/>
        <v>0</v>
      </c>
      <c r="J569" s="193">
        <f t="shared" si="48"/>
        <v>0</v>
      </c>
      <c r="K569" s="193">
        <f t="shared" si="48"/>
        <v>0</v>
      </c>
      <c r="L569" s="193">
        <f t="shared" si="48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9">G559+G564+G569</f>
        <v>0</v>
      </c>
      <c r="H570" s="89">
        <f t="shared" si="49"/>
        <v>0</v>
      </c>
      <c r="I570" s="89">
        <f t="shared" si="49"/>
        <v>0</v>
      </c>
      <c r="J570" s="89">
        <f t="shared" si="49"/>
        <v>0</v>
      </c>
      <c r="K570" s="89">
        <f t="shared" si="49"/>
        <v>0</v>
      </c>
      <c r="L570" s="89">
        <f t="shared" si="49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0</v>
      </c>
      <c r="H574" s="18">
        <v>0</v>
      </c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>
        <v>0</v>
      </c>
      <c r="G575" s="18">
        <v>0</v>
      </c>
      <c r="H575" s="18">
        <v>0</v>
      </c>
      <c r="I575" s="87">
        <f t="shared" ref="I575:I586" si="50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0</v>
      </c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>
        <v>0</v>
      </c>
      <c r="G577" s="18">
        <v>0</v>
      </c>
      <c r="H577" s="18">
        <v>0</v>
      </c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286635.86</v>
      </c>
      <c r="G578" s="18">
        <v>0</v>
      </c>
      <c r="H578" s="18">
        <v>0</v>
      </c>
      <c r="I578" s="87">
        <f t="shared" si="50"/>
        <v>286635.86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>
        <v>0</v>
      </c>
      <c r="G579" s="18">
        <v>0</v>
      </c>
      <c r="H579" s="18">
        <v>0</v>
      </c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0</v>
      </c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186911.39</v>
      </c>
      <c r="G581" s="18">
        <v>57859.99</v>
      </c>
      <c r="H581" s="18">
        <v>86789.98</v>
      </c>
      <c r="I581" s="87">
        <f t="shared" si="50"/>
        <v>331561.36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0</v>
      </c>
      <c r="G582" s="18">
        <v>0</v>
      </c>
      <c r="H582" s="18">
        <v>0</v>
      </c>
      <c r="I582" s="87">
        <f t="shared" si="50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>
        <v>0</v>
      </c>
      <c r="G583" s="18">
        <v>0</v>
      </c>
      <c r="H583" s="18">
        <f>H234</f>
        <v>33769.96</v>
      </c>
      <c r="I583" s="87">
        <f t="shared" si="50"/>
        <v>33769.96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>
        <v>0</v>
      </c>
      <c r="G584" s="18">
        <v>0</v>
      </c>
      <c r="H584" s="18">
        <v>0</v>
      </c>
      <c r="I584" s="87">
        <f t="shared" si="50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>
        <v>0</v>
      </c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>
        <v>0</v>
      </c>
      <c r="G586" s="18">
        <v>0</v>
      </c>
      <c r="H586" s="18">
        <v>0</v>
      </c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L207-SUM(H591:H596)</f>
        <v>122763.38999999998</v>
      </c>
      <c r="I590" s="18">
        <f>L225-SUM(I591:I596)</f>
        <v>86855.949999999983</v>
      </c>
      <c r="J590" s="18">
        <f>L243-SUM(J591:J596)</f>
        <v>104981.56999999996</v>
      </c>
      <c r="K590" s="104">
        <f t="shared" ref="K590:K596" si="51">SUM(H590:J590)</f>
        <v>314600.90999999992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L540</f>
        <v>33204.51</v>
      </c>
      <c r="I591" s="18">
        <f>L541</f>
        <v>15911.33</v>
      </c>
      <c r="J591" s="18">
        <f>L542</f>
        <v>23867.01</v>
      </c>
      <c r="K591" s="104">
        <f t="shared" si="51"/>
        <v>72982.850000000006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25216.320000000003</v>
      </c>
      <c r="K592" s="104">
        <f t="shared" si="51"/>
        <v>25216.320000000003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3661.64</v>
      </c>
      <c r="J593" s="18">
        <v>5492.47</v>
      </c>
      <c r="K593" s="104">
        <f t="shared" si="51"/>
        <v>9154.11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51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51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155967.9</v>
      </c>
      <c r="I597" s="108">
        <f>SUM(I590:I596)</f>
        <v>106428.91999999998</v>
      </c>
      <c r="J597" s="108">
        <f>SUM(J590:J596)</f>
        <v>159557.36999999997</v>
      </c>
      <c r="K597" s="108">
        <f>SUM(K590:K596)</f>
        <v>421954.18999999989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>
        <v>0</v>
      </c>
      <c r="J601" s="18">
        <v>0</v>
      </c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27272.409999999996</v>
      </c>
      <c r="I603" s="18">
        <f>J228+J308</f>
        <v>58664.68</v>
      </c>
      <c r="J603" s="18">
        <f>J246+J327</f>
        <v>121401.28000000001</v>
      </c>
      <c r="K603" s="104">
        <f>SUM(H603:J603)</f>
        <v>207338.37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27272.409999999996</v>
      </c>
      <c r="I604" s="108">
        <f>SUM(I601:I603)</f>
        <v>58664.68</v>
      </c>
      <c r="J604" s="108">
        <f>SUM(J601:J603)</f>
        <v>121401.28000000001</v>
      </c>
      <c r="K604" s="108">
        <f>SUM(K601:K603)</f>
        <v>207338.37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10322.5</v>
      </c>
      <c r="G610" s="18">
        <v>1144.3600000000001</v>
      </c>
      <c r="H610" s="18">
        <v>5686.04</v>
      </c>
      <c r="I610" s="18">
        <v>450.94</v>
      </c>
      <c r="J610" s="18">
        <v>0</v>
      </c>
      <c r="K610" s="18">
        <v>78.819999999999993</v>
      </c>
      <c r="L610" s="88">
        <f>SUM(F610:K610)</f>
        <v>17682.66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6507.5</v>
      </c>
      <c r="G611" s="18">
        <v>699.98</v>
      </c>
      <c r="H611" s="18">
        <v>3702.7200000000003</v>
      </c>
      <c r="I611" s="18">
        <v>567.67999999999995</v>
      </c>
      <c r="J611" s="18">
        <v>0</v>
      </c>
      <c r="K611" s="18">
        <v>47.300000000000004</v>
      </c>
      <c r="L611" s="88">
        <f>SUM(F611:K611)</f>
        <v>11525.18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2520</v>
      </c>
      <c r="G612" s="18">
        <v>204.68</v>
      </c>
      <c r="H612" s="18">
        <v>814.06000000000006</v>
      </c>
      <c r="I612" s="18">
        <v>0</v>
      </c>
      <c r="J612" s="18">
        <v>0</v>
      </c>
      <c r="K612" s="18">
        <v>70.929999999999993</v>
      </c>
      <c r="L612" s="88">
        <f>SUM(F612:K612)</f>
        <v>3609.6699999999996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19350</v>
      </c>
      <c r="G613" s="108">
        <f t="shared" si="52"/>
        <v>2049.02</v>
      </c>
      <c r="H613" s="108">
        <f t="shared" si="52"/>
        <v>10202.82</v>
      </c>
      <c r="I613" s="108">
        <f t="shared" si="52"/>
        <v>1018.6199999999999</v>
      </c>
      <c r="J613" s="108">
        <f t="shared" si="52"/>
        <v>0</v>
      </c>
      <c r="K613" s="108">
        <f t="shared" si="52"/>
        <v>197.05</v>
      </c>
      <c r="L613" s="89">
        <f t="shared" si="52"/>
        <v>32817.51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353819.24</v>
      </c>
      <c r="H616" s="109">
        <f>SUM(F51)</f>
        <v>353819.24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40131.32</v>
      </c>
      <c r="H617" s="109">
        <f>SUM(G51)</f>
        <v>40131.320000000007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285785.34999999998</v>
      </c>
      <c r="H618" s="109">
        <f>SUM(H51)</f>
        <v>285785.34999999998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231618.81</v>
      </c>
      <c r="H619" s="109">
        <f>SUM(I51)</f>
        <v>231618.81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100507.88</v>
      </c>
      <c r="H620" s="109">
        <f>SUM(J51)</f>
        <v>100507.88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345984.93</v>
      </c>
      <c r="H621" s="109">
        <f>F475</f>
        <v>345984.93000000156</v>
      </c>
      <c r="I621" s="121" t="s">
        <v>101</v>
      </c>
      <c r="J621" s="109">
        <f t="shared" ref="J621:J654" si="53">G621-H621</f>
        <v>-1.57160684466362E-9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194337.87</v>
      </c>
      <c r="H624" s="109">
        <f>I475</f>
        <v>194337.87</v>
      </c>
      <c r="I624" s="121" t="s">
        <v>104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100507.88</v>
      </c>
      <c r="H625" s="109">
        <f>J475</f>
        <v>100507.88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9031501.9000000004</v>
      </c>
      <c r="H626" s="104">
        <f>SUM(F467)</f>
        <v>9031501.9000000004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286190.15000000002</v>
      </c>
      <c r="H627" s="104">
        <f>SUM(G467)</f>
        <v>286190.15000000002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949572.05</v>
      </c>
      <c r="H628" s="104">
        <f>SUM(H467)</f>
        <v>949572.05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128.47</v>
      </c>
      <c r="H629" s="104">
        <f>SUM(I467)</f>
        <v>128.47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75713.62</v>
      </c>
      <c r="H630" s="104">
        <f>SUM(J467)</f>
        <v>75713.62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8920267.7699999996</v>
      </c>
      <c r="H631" s="104">
        <f>SUM(F471)</f>
        <v>8920267.7699999996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949572.04999999993</v>
      </c>
      <c r="H632" s="104">
        <f>SUM(H471)</f>
        <v>949572.04999999993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98030.670000000013</v>
      </c>
      <c r="H633" s="104">
        <f>I368</f>
        <v>98030.670000000013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286190.15000000002</v>
      </c>
      <c r="H634" s="104">
        <f>SUM(G471)</f>
        <v>286190.15000000002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75713.62</v>
      </c>
      <c r="H636" s="164">
        <f>SUM(J467)</f>
        <v>75713.62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60684</v>
      </c>
      <c r="H637" s="164">
        <f>SUM(J471)</f>
        <v>60684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100507.88</v>
      </c>
      <c r="H638" s="104">
        <f>SUM(F460)</f>
        <v>100507.88</v>
      </c>
      <c r="I638" s="140" t="s">
        <v>857</v>
      </c>
      <c r="J638" s="109">
        <f t="shared" si="53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100507.88</v>
      </c>
      <c r="H641" s="104">
        <f>SUM(I460)</f>
        <v>100507.88</v>
      </c>
      <c r="I641" s="140" t="s">
        <v>860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713.62</v>
      </c>
      <c r="H643" s="104">
        <f>H407</f>
        <v>713.62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75000</v>
      </c>
      <c r="H644" s="104">
        <f>G407</f>
        <v>75000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75713.62</v>
      </c>
      <c r="H645" s="104">
        <f>L407</f>
        <v>75713.62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421954.18999999989</v>
      </c>
      <c r="H646" s="104">
        <f>L207+L225+L243</f>
        <v>421954.18999999994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207338.37</v>
      </c>
      <c r="H647" s="104">
        <f>(J256+J337)-(J254+J335)</f>
        <v>207338.37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155967.9</v>
      </c>
      <c r="H648" s="104">
        <f>H597</f>
        <v>155967.9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106428.91999999998</v>
      </c>
      <c r="H649" s="104">
        <f>I597</f>
        <v>106428.91999999998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159557.36999999997</v>
      </c>
      <c r="H650" s="104">
        <f>J597</f>
        <v>159557.36999999997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80132.490000000005</v>
      </c>
      <c r="H651" s="104">
        <f>K262+K344</f>
        <v>80132.490000000005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75000</v>
      </c>
      <c r="H654" s="104">
        <f>K265+K346</f>
        <v>75000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4213406.75</v>
      </c>
      <c r="G659" s="19">
        <f>(L228+L308+L358)</f>
        <v>2182169.5099999998</v>
      </c>
      <c r="H659" s="19">
        <f>(L246+L327+L359)</f>
        <v>3224240.72</v>
      </c>
      <c r="I659" s="19">
        <f>SUM(F659:H659)</f>
        <v>9619816.9800000004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29756.815533815185</v>
      </c>
      <c r="G660" s="19">
        <f>(L358/IF(SUM(L357:L359)=0,1,SUM(L357:L359))*(SUM(G96:G109)))</f>
        <v>15658.846267999439</v>
      </c>
      <c r="H660" s="19">
        <f>(L359/IF(SUM(L357:L359)=0,1,SUM(L357:L359))*(SUM(G96:G109)))</f>
        <v>23488.268198185368</v>
      </c>
      <c r="I660" s="19">
        <f>SUM(F660:H660)</f>
        <v>68903.929999999993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157387.42000000001</v>
      </c>
      <c r="G661" s="19">
        <f>(L225+L305)-(J225+J305)</f>
        <v>106701.56999999999</v>
      </c>
      <c r="H661" s="19">
        <f>(L243+L324)-(J243+J324)</f>
        <v>161909.17999999996</v>
      </c>
      <c r="I661" s="19">
        <f>SUM(F661:H661)</f>
        <v>425998.16999999993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518502.31999999995</v>
      </c>
      <c r="G662" s="199">
        <f>SUM(G574:G586)+SUM(I601:I603)+L611</f>
        <v>128049.85</v>
      </c>
      <c r="H662" s="199">
        <f>SUM(H574:H586)+SUM(J601:J603)+L612</f>
        <v>245570.89000000004</v>
      </c>
      <c r="I662" s="19">
        <f>SUM(F662:H662)</f>
        <v>892123.05999999994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3507760.1944661848</v>
      </c>
      <c r="G663" s="19">
        <f>G659-SUM(G660:G662)</f>
        <v>1931759.2437320002</v>
      </c>
      <c r="H663" s="19">
        <f>H659-SUM(H660:H662)</f>
        <v>2793272.3818018148</v>
      </c>
      <c r="I663" s="19">
        <f>I659-SUM(I660:I662)</f>
        <v>8232791.8200000003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f>43.42+221.13</f>
        <v>264.55</v>
      </c>
      <c r="G664" s="248">
        <v>128.56</v>
      </c>
      <c r="H664" s="248">
        <v>191.48</v>
      </c>
      <c r="I664" s="19">
        <f>SUM(F664:H664)</f>
        <v>584.59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13259.35</v>
      </c>
      <c r="G666" s="19">
        <f>ROUND(G663/G664,2)</f>
        <v>15026.13</v>
      </c>
      <c r="H666" s="19">
        <f>ROUND(H663/H664,2)</f>
        <v>14587.8</v>
      </c>
      <c r="I666" s="19">
        <f>ROUND(I663/I664,2)</f>
        <v>14083.02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-11.52</v>
      </c>
      <c r="I669" s="19">
        <f>SUM(F669:H669)</f>
        <v>-11.52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13259.35</v>
      </c>
      <c r="G671" s="19">
        <f>ROUND((G663+G668)/(G664+G669),2)</f>
        <v>15026.13</v>
      </c>
      <c r="H671" s="19">
        <f>ROUND((H663+H668)/(H664+H669),2)</f>
        <v>15521.63</v>
      </c>
      <c r="I671" s="19">
        <f>ROUND((I663+I668)/(I664+I669),2)</f>
        <v>14366.12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10" zoomScaleNormal="110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SAU# 64 - Milton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2432220.04</v>
      </c>
      <c r="C9" s="229">
        <f>'DOE25'!G196+'DOE25'!G214+'DOE25'!G232+'DOE25'!G275+'DOE25'!G294+'DOE25'!G313</f>
        <v>1002225.0299999999</v>
      </c>
    </row>
    <row r="10" spans="1:3" x14ac:dyDescent="0.2">
      <c r="A10" t="s">
        <v>779</v>
      </c>
      <c r="B10" s="240">
        <v>2224951.4900000002</v>
      </c>
      <c r="C10" s="240">
        <v>979031.89</v>
      </c>
    </row>
    <row r="11" spans="1:3" x14ac:dyDescent="0.2">
      <c r="A11" t="s">
        <v>780</v>
      </c>
      <c r="B11" s="240">
        <v>54629.24</v>
      </c>
      <c r="C11" s="240">
        <v>19094.46</v>
      </c>
    </row>
    <row r="12" spans="1:3" x14ac:dyDescent="0.2">
      <c r="A12" t="s">
        <v>781</v>
      </c>
      <c r="B12" s="240">
        <v>152639.31</v>
      </c>
      <c r="C12" s="240">
        <v>4098.68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2432220.0400000005</v>
      </c>
      <c r="C13" s="231">
        <f>SUM(C10:C12)</f>
        <v>1002225.03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781490.88</v>
      </c>
      <c r="C18" s="229">
        <f>'DOE25'!G197+'DOE25'!G215+'DOE25'!G233+'DOE25'!G276+'DOE25'!G295+'DOE25'!G314</f>
        <v>420796.02</v>
      </c>
    </row>
    <row r="19" spans="1:3" x14ac:dyDescent="0.2">
      <c r="A19" t="s">
        <v>779</v>
      </c>
      <c r="B19" s="240">
        <v>298726.84999999998</v>
      </c>
      <c r="C19" s="240">
        <v>156525.41999999998</v>
      </c>
    </row>
    <row r="20" spans="1:3" x14ac:dyDescent="0.2">
      <c r="A20" t="s">
        <v>780</v>
      </c>
      <c r="B20" s="240">
        <v>417883.20999999996</v>
      </c>
      <c r="C20" s="240">
        <v>263807.02</v>
      </c>
    </row>
    <row r="21" spans="1:3" x14ac:dyDescent="0.2">
      <c r="A21" t="s">
        <v>781</v>
      </c>
      <c r="B21" s="240">
        <v>64880.82</v>
      </c>
      <c r="C21" s="240">
        <v>463.58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781490.87999999989</v>
      </c>
      <c r="C22" s="231">
        <f>SUM(C19:C21)</f>
        <v>420796.02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42570</v>
      </c>
      <c r="C27" s="234">
        <f>'DOE25'!G198+'DOE25'!G216+'DOE25'!G234+'DOE25'!G277+'DOE25'!G296+'DOE25'!G315</f>
        <v>13457.87</v>
      </c>
    </row>
    <row r="28" spans="1:3" x14ac:dyDescent="0.2">
      <c r="A28" t="s">
        <v>779</v>
      </c>
      <c r="B28" s="240">
        <v>42570</v>
      </c>
      <c r="C28" s="240">
        <v>13457.87</v>
      </c>
    </row>
    <row r="29" spans="1:3" x14ac:dyDescent="0.2">
      <c r="A29" t="s">
        <v>780</v>
      </c>
      <c r="B29" s="240">
        <v>0</v>
      </c>
      <c r="C29" s="240"/>
    </row>
    <row r="30" spans="1:3" x14ac:dyDescent="0.2">
      <c r="A30" t="s">
        <v>781</v>
      </c>
      <c r="B30" s="240">
        <v>0</v>
      </c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42570</v>
      </c>
      <c r="C31" s="231">
        <f>SUM(C28:C30)</f>
        <v>13457.87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95476.26</v>
      </c>
      <c r="C36" s="235">
        <f>'DOE25'!G199+'DOE25'!G217+'DOE25'!G235+'DOE25'!G278+'DOE25'!G297+'DOE25'!G316</f>
        <v>23093.439999999999</v>
      </c>
    </row>
    <row r="37" spans="1:3" x14ac:dyDescent="0.2">
      <c r="A37" t="s">
        <v>779</v>
      </c>
      <c r="B37" s="240">
        <v>95476.26</v>
      </c>
      <c r="C37" s="240">
        <v>23093.440000000002</v>
      </c>
    </row>
    <row r="38" spans="1:3" x14ac:dyDescent="0.2">
      <c r="A38" t="s">
        <v>780</v>
      </c>
      <c r="B38" s="240">
        <v>0</v>
      </c>
      <c r="C38" s="240">
        <v>0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95476.26</v>
      </c>
      <c r="C40" s="231">
        <f>SUM(C37:C39)</f>
        <v>23093.440000000002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SAU# 64 - Milton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5577461.6499999994</v>
      </c>
      <c r="D5" s="20">
        <f>SUM('DOE25'!L196:L199)+SUM('DOE25'!L214:L217)+SUM('DOE25'!L232:L235)-F5-G5</f>
        <v>5552866.0499999998</v>
      </c>
      <c r="E5" s="243"/>
      <c r="F5" s="255">
        <f>SUM('DOE25'!J196:J199)+SUM('DOE25'!J214:J217)+SUM('DOE25'!J232:J235)</f>
        <v>21637.599999999999</v>
      </c>
      <c r="G5" s="53">
        <f>SUM('DOE25'!K196:K199)+SUM('DOE25'!K214:K217)+SUM('DOE25'!K232:K235)</f>
        <v>2958</v>
      </c>
      <c r="H5" s="259"/>
    </row>
    <row r="6" spans="1:9" x14ac:dyDescent="0.2">
      <c r="A6" s="32">
        <v>2100</v>
      </c>
      <c r="B6" t="s">
        <v>801</v>
      </c>
      <c r="C6" s="245">
        <f t="shared" si="0"/>
        <v>393206.06000000006</v>
      </c>
      <c r="D6" s="20">
        <f>'DOE25'!L201+'DOE25'!L219+'DOE25'!L237-F6-G6</f>
        <v>393086.06000000006</v>
      </c>
      <c r="E6" s="243"/>
      <c r="F6" s="255">
        <f>'DOE25'!J201+'DOE25'!J219+'DOE25'!J237</f>
        <v>0</v>
      </c>
      <c r="G6" s="53">
        <f>'DOE25'!K201+'DOE25'!K219+'DOE25'!K237</f>
        <v>120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208193</v>
      </c>
      <c r="D7" s="20">
        <f>'DOE25'!L202+'DOE25'!L220+'DOE25'!L238-F7-G7</f>
        <v>207893.01</v>
      </c>
      <c r="E7" s="243"/>
      <c r="F7" s="255">
        <f>'DOE25'!J202+'DOE25'!J220+'DOE25'!J238</f>
        <v>299.99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301962.95999999996</v>
      </c>
      <c r="D8" s="243"/>
      <c r="E8" s="20">
        <f>'DOE25'!L203+'DOE25'!L221+'DOE25'!L239-F8-G8-D9-D11</f>
        <v>298451.94999999995</v>
      </c>
      <c r="F8" s="255">
        <f>'DOE25'!J203+'DOE25'!J221+'DOE25'!J239</f>
        <v>0</v>
      </c>
      <c r="G8" s="53">
        <f>'DOE25'!K203+'DOE25'!K221+'DOE25'!K239</f>
        <v>3511.01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33621.12000000001</v>
      </c>
      <c r="D9" s="244">
        <v>33621.12000000001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12178.279999999999</v>
      </c>
      <c r="D10" s="243"/>
      <c r="E10" s="244">
        <v>12178.279999999999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92670.84</v>
      </c>
      <c r="D11" s="244">
        <v>92670.84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540342.92000000004</v>
      </c>
      <c r="D12" s="20">
        <f>'DOE25'!L204+'DOE25'!L222+'DOE25'!L240-F12-G12</f>
        <v>535103.6100000001</v>
      </c>
      <c r="E12" s="243"/>
      <c r="F12" s="255">
        <f>'DOE25'!J204+'DOE25'!J222+'DOE25'!J240</f>
        <v>2396.23</v>
      </c>
      <c r="G12" s="53">
        <f>'DOE25'!K204+'DOE25'!K222+'DOE25'!K240</f>
        <v>2843.08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763429.47</v>
      </c>
      <c r="D14" s="20">
        <f>'DOE25'!L206+'DOE25'!L224+'DOE25'!L242-F14-G14</f>
        <v>754035.04</v>
      </c>
      <c r="E14" s="243"/>
      <c r="F14" s="255">
        <f>'DOE25'!J206+'DOE25'!J224+'DOE25'!J242</f>
        <v>9158.08</v>
      </c>
      <c r="G14" s="53">
        <f>'DOE25'!K206+'DOE25'!K224+'DOE25'!K242</f>
        <v>236.35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421954.18999999994</v>
      </c>
      <c r="D15" s="20">
        <f>'DOE25'!L207+'DOE25'!L225+'DOE25'!L243-F15-G15</f>
        <v>415383.99999999994</v>
      </c>
      <c r="E15" s="243"/>
      <c r="F15" s="255">
        <f>'DOE25'!J207+'DOE25'!J225+'DOE25'!J243</f>
        <v>1383.5</v>
      </c>
      <c r="G15" s="53">
        <f>'DOE25'!K207+'DOE25'!K225+'DOE25'!K243</f>
        <v>5186.6900000000005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51212.569999999992</v>
      </c>
      <c r="D16" s="243"/>
      <c r="E16" s="20">
        <f>'DOE25'!L208+'DOE25'!L226+'DOE25'!L244-F16-G16</f>
        <v>34260.01999999999</v>
      </c>
      <c r="F16" s="255">
        <f>'DOE25'!J208+'DOE25'!J226+'DOE25'!J244</f>
        <v>16952.55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381080.5</v>
      </c>
      <c r="D25" s="243"/>
      <c r="E25" s="243"/>
      <c r="F25" s="258"/>
      <c r="G25" s="256"/>
      <c r="H25" s="257">
        <f>'DOE25'!L259+'DOE25'!L260+'DOE25'!L340+'DOE25'!L341</f>
        <v>381080.5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190310</v>
      </c>
      <c r="D29" s="20">
        <f>'DOE25'!L357+'DOE25'!L358+'DOE25'!L359-'DOE25'!I366-F29-G29</f>
        <v>189772.75</v>
      </c>
      <c r="E29" s="243"/>
      <c r="F29" s="255">
        <f>'DOE25'!J357+'DOE25'!J358+'DOE25'!J359</f>
        <v>345</v>
      </c>
      <c r="G29" s="53">
        <f>'DOE25'!K357+'DOE25'!K358+'DOE25'!K359</f>
        <v>192.25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949572.04999999993</v>
      </c>
      <c r="D31" s="20">
        <f>'DOE25'!L289+'DOE25'!L308+'DOE25'!L327+'DOE25'!L332+'DOE25'!L333+'DOE25'!L334-F31-G31</f>
        <v>753463.73999999987</v>
      </c>
      <c r="E31" s="243"/>
      <c r="F31" s="255">
        <f>'DOE25'!J289+'DOE25'!J308+'DOE25'!J327+'DOE25'!J332+'DOE25'!J333+'DOE25'!J334</f>
        <v>155510.42000000001</v>
      </c>
      <c r="G31" s="53">
        <f>'DOE25'!K289+'DOE25'!K308+'DOE25'!K327+'DOE25'!K332+'DOE25'!K333+'DOE25'!K334</f>
        <v>40597.89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8927896.2199999988</v>
      </c>
      <c r="E33" s="246">
        <f>SUM(E5:E31)</f>
        <v>344890.25</v>
      </c>
      <c r="F33" s="246">
        <f>SUM(F5:F31)</f>
        <v>207683.37</v>
      </c>
      <c r="G33" s="246">
        <f>SUM(G5:G31)</f>
        <v>55645.270000000004</v>
      </c>
      <c r="H33" s="246">
        <f>SUM(H5:H31)</f>
        <v>381080.5</v>
      </c>
    </row>
    <row r="35" spans="2:8" ht="12" thickBot="1" x14ac:dyDescent="0.25">
      <c r="B35" s="253" t="s">
        <v>847</v>
      </c>
      <c r="D35" s="254">
        <f>E33</f>
        <v>344890.25</v>
      </c>
      <c r="E35" s="249"/>
    </row>
    <row r="36" spans="2:8" ht="12" thickTop="1" x14ac:dyDescent="0.2">
      <c r="B36" t="s">
        <v>815</v>
      </c>
      <c r="D36" s="20">
        <f>D33</f>
        <v>8927896.2199999988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Normal="100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SAU# 64 - Milton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231618.81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100507.88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233262.24</v>
      </c>
      <c r="D11" s="95">
        <f>'DOE25'!G12</f>
        <v>8737.74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3482.36</v>
      </c>
      <c r="E12" s="95">
        <f>'DOE25'!H13</f>
        <v>22260.55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120557</v>
      </c>
      <c r="D13" s="95">
        <f>'DOE25'!G14</f>
        <v>23664.04</v>
      </c>
      <c r="E13" s="95">
        <f>'DOE25'!H14</f>
        <v>263524.8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4247.18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353819.24</v>
      </c>
      <c r="D18" s="41">
        <f>SUM(D8:D17)</f>
        <v>40131.32</v>
      </c>
      <c r="E18" s="41">
        <f>SUM(E8:E17)</f>
        <v>285785.34999999998</v>
      </c>
      <c r="F18" s="41">
        <f>SUM(F8:F17)</f>
        <v>231618.81</v>
      </c>
      <c r="G18" s="41">
        <f>SUM(G8:G17)</f>
        <v>100507.88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4069.03</v>
      </c>
      <c r="D21" s="95">
        <f>'DOE25'!G22</f>
        <v>30237.120000000003</v>
      </c>
      <c r="E21" s="95">
        <f>'DOE25'!H22</f>
        <v>285785.34999999998</v>
      </c>
      <c r="F21" s="95">
        <f>'DOE25'!I22</f>
        <v>37280.94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3765.28</v>
      </c>
      <c r="D23" s="95">
        <f>'DOE25'!G24</f>
        <v>8401.33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1492.87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7834.31</v>
      </c>
      <c r="D31" s="41">
        <f>SUM(D21:D30)</f>
        <v>40131.320000000007</v>
      </c>
      <c r="E31" s="41">
        <f>SUM(E21:E30)</f>
        <v>285785.34999999998</v>
      </c>
      <c r="F31" s="41">
        <f>SUM(F21:F30)</f>
        <v>37280.94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75000</v>
      </c>
      <c r="D46" s="95">
        <f>'DOE25'!G47</f>
        <v>0</v>
      </c>
      <c r="E46" s="95">
        <f>'DOE25'!H47</f>
        <v>0</v>
      </c>
      <c r="F46" s="95">
        <f>'DOE25'!I47</f>
        <v>194337.87</v>
      </c>
      <c r="G46" s="95">
        <f>'DOE25'!J47</f>
        <v>100507.88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270984.93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345984.93</v>
      </c>
      <c r="D49" s="41">
        <f>SUM(D34:D48)</f>
        <v>0</v>
      </c>
      <c r="E49" s="41">
        <f>SUM(E34:E48)</f>
        <v>0</v>
      </c>
      <c r="F49" s="41">
        <f>SUM(F34:F48)</f>
        <v>194337.87</v>
      </c>
      <c r="G49" s="41">
        <f>SUM(G34:G48)</f>
        <v>100507.88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353819.24</v>
      </c>
      <c r="D50" s="41">
        <f>D49+D31</f>
        <v>40131.320000000007</v>
      </c>
      <c r="E50" s="41">
        <f>E49+E31</f>
        <v>285785.34999999998</v>
      </c>
      <c r="F50" s="41">
        <f>F49+F31</f>
        <v>231618.81</v>
      </c>
      <c r="G50" s="41">
        <f>G49+G31</f>
        <v>100507.88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4752690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31656.84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5518.6200000000008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128.47</v>
      </c>
      <c r="G58" s="95">
        <f>'DOE25'!J95</f>
        <v>713.62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68903.929999999993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37175.46</v>
      </c>
      <c r="D61" s="130">
        <f>SUM(D56:D60)</f>
        <v>68903.929999999993</v>
      </c>
      <c r="E61" s="130">
        <f>SUM(E56:E60)</f>
        <v>0</v>
      </c>
      <c r="F61" s="130">
        <f>SUM(F56:F60)</f>
        <v>128.47</v>
      </c>
      <c r="G61" s="130">
        <f>SUM(G56:G60)</f>
        <v>713.62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4789865.46</v>
      </c>
      <c r="D62" s="22">
        <f>D55+D61</f>
        <v>68903.929999999993</v>
      </c>
      <c r="E62" s="22">
        <f>E55+E61</f>
        <v>0</v>
      </c>
      <c r="F62" s="22">
        <f>F55+F61</f>
        <v>128.47</v>
      </c>
      <c r="G62" s="22">
        <f>G55+G61</f>
        <v>713.62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3007805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921884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32629.77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3929689</v>
      </c>
      <c r="D69" s="139">
        <f>D68</f>
        <v>0</v>
      </c>
      <c r="E69" s="139">
        <f>E68</f>
        <v>32629.77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180046.78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12874.18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8953.99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473.13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201874.94999999998</v>
      </c>
      <c r="D77" s="130">
        <f>SUM(D71:D76)</f>
        <v>473.13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4131563.95</v>
      </c>
      <c r="D80" s="130">
        <f>SUM(D78:D79)+D77+D69</f>
        <v>473.13</v>
      </c>
      <c r="E80" s="130">
        <f>SUM(E78:E79)+E77+E69</f>
        <v>32629.77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619330.53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110072.49</v>
      </c>
      <c r="D87" s="95">
        <f>SUM('DOE25'!G152:G160)</f>
        <v>136680.6</v>
      </c>
      <c r="E87" s="95">
        <f>SUM('DOE25'!H152:H160)</f>
        <v>297611.75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110072.49</v>
      </c>
      <c r="D90" s="131">
        <f>SUM(D84:D89)</f>
        <v>136680.6</v>
      </c>
      <c r="E90" s="131">
        <f>SUM(E84:E89)</f>
        <v>916942.28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80132.490000000005</v>
      </c>
      <c r="E95" s="95">
        <f>'DOE25'!H178</f>
        <v>0</v>
      </c>
      <c r="F95" s="95">
        <f>'DOE25'!I178</f>
        <v>0</v>
      </c>
      <c r="G95" s="95">
        <f>'DOE25'!J178</f>
        <v>75000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80132.490000000005</v>
      </c>
      <c r="E102" s="86">
        <f>SUM(E92:E101)</f>
        <v>0</v>
      </c>
      <c r="F102" s="86">
        <f>SUM(F92:F101)</f>
        <v>0</v>
      </c>
      <c r="G102" s="86">
        <f>SUM(G92:G101)</f>
        <v>75000</v>
      </c>
    </row>
    <row r="103" spans="1:7" ht="12.75" thickTop="1" thickBot="1" x14ac:dyDescent="0.25">
      <c r="A103" s="33" t="s">
        <v>765</v>
      </c>
      <c r="C103" s="86">
        <f>C62+C80+C90+C102</f>
        <v>9031501.9000000004</v>
      </c>
      <c r="D103" s="86">
        <f>D62+D80+D90+D102</f>
        <v>286190.15000000002</v>
      </c>
      <c r="E103" s="86">
        <f>E62+E80+E90+E102</f>
        <v>949572.05</v>
      </c>
      <c r="F103" s="86">
        <f>F62+F80+F90+F102</f>
        <v>128.47</v>
      </c>
      <c r="G103" s="86">
        <f>G62+G80+G102</f>
        <v>75713.62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3147811.04</v>
      </c>
      <c r="D108" s="24" t="s">
        <v>289</v>
      </c>
      <c r="E108" s="95">
        <f>('DOE25'!L275)+('DOE25'!L294)+('DOE25'!L313)</f>
        <v>692218.48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2167797.0100000002</v>
      </c>
      <c r="D109" s="24" t="s">
        <v>289</v>
      </c>
      <c r="E109" s="95">
        <f>('DOE25'!L276)+('DOE25'!L295)+('DOE25'!L314)</f>
        <v>3760.3200000000006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89797.83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172055.77000000002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5577461.6500000004</v>
      </c>
      <c r="D114" s="86">
        <f>SUM(D108:D113)</f>
        <v>0</v>
      </c>
      <c r="E114" s="86">
        <f>SUM(E108:E113)</f>
        <v>695978.79999999993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393206.06000000006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208193</v>
      </c>
      <c r="D118" s="24" t="s">
        <v>289</v>
      </c>
      <c r="E118" s="95">
        <f>+('DOE25'!L281)+('DOE25'!L300)+('DOE25'!L319)</f>
        <v>207567.88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428254.91999999993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540342.92000000004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40597.89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763429.47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421954.18999999994</v>
      </c>
      <c r="D123" s="24" t="s">
        <v>289</v>
      </c>
      <c r="E123" s="95">
        <f>+('DOE25'!L286)+('DOE25'!L305)+('DOE25'!L324)</f>
        <v>5427.48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51212.569999999992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286190.15000000002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2806593.13</v>
      </c>
      <c r="D127" s="86">
        <f>SUM(D117:D126)</f>
        <v>286190.15000000002</v>
      </c>
      <c r="E127" s="86">
        <f>SUM(E117:E126)</f>
        <v>253593.25000000003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275000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106080.5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80132.490000000005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61.76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75651.86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-713.61999999999534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536212.99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8920267.7699999996</v>
      </c>
      <c r="D144" s="86">
        <f>(D114+D127+D143)</f>
        <v>286190.15000000002</v>
      </c>
      <c r="E144" s="86">
        <f>(E114+E127+E143)</f>
        <v>949572.04999999993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08/05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08/20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4097790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2450000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2450000</v>
      </c>
    </row>
    <row r="156" spans="1:9" x14ac:dyDescent="0.2">
      <c r="A156" s="22" t="s">
        <v>33</v>
      </c>
      <c r="B156" s="137">
        <f>'DOE25'!F495</f>
        <v>2175000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2175000</v>
      </c>
    </row>
    <row r="157" spans="1:9" x14ac:dyDescent="0.2">
      <c r="A157" s="22" t="s">
        <v>34</v>
      </c>
      <c r="B157" s="137">
        <f>'DOE25'!F496</f>
        <v>275000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275000</v>
      </c>
    </row>
    <row r="158" spans="1:9" x14ac:dyDescent="0.2">
      <c r="A158" s="22" t="s">
        <v>35</v>
      </c>
      <c r="B158" s="137">
        <f>'DOE25'!F497</f>
        <v>2175000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2175000</v>
      </c>
    </row>
    <row r="159" spans="1:9" x14ac:dyDescent="0.2">
      <c r="A159" s="22" t="s">
        <v>36</v>
      </c>
      <c r="B159" s="137">
        <f>'DOE25'!F498</f>
        <v>375243.75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375243.75</v>
      </c>
    </row>
    <row r="160" spans="1:9" x14ac:dyDescent="0.2">
      <c r="A160" s="22" t="s">
        <v>37</v>
      </c>
      <c r="B160" s="137">
        <f>'DOE25'!F499</f>
        <v>2550243.75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2550243.75</v>
      </c>
    </row>
    <row r="161" spans="1:7" x14ac:dyDescent="0.2">
      <c r="A161" s="22" t="s">
        <v>38</v>
      </c>
      <c r="B161" s="137">
        <f>'DOE25'!F500</f>
        <v>275000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275000</v>
      </c>
    </row>
    <row r="162" spans="1:7" x14ac:dyDescent="0.2">
      <c r="A162" s="22" t="s">
        <v>39</v>
      </c>
      <c r="B162" s="137">
        <f>'DOE25'!F501</f>
        <v>92330.5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92330.5</v>
      </c>
    </row>
    <row r="163" spans="1:7" x14ac:dyDescent="0.2">
      <c r="A163" s="22" t="s">
        <v>246</v>
      </c>
      <c r="B163" s="137">
        <f>'DOE25'!F502</f>
        <v>367330.5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367330.5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E65" sqref="E65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SAU# 64 - Milton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13259</v>
      </c>
    </row>
    <row r="5" spans="1:4" x14ac:dyDescent="0.2">
      <c r="B5" t="s">
        <v>704</v>
      </c>
      <c r="C5" s="179">
        <f>IF('DOE25'!G664+'DOE25'!G669=0,0,ROUND('DOE25'!G671,0))</f>
        <v>15026</v>
      </c>
    </row>
    <row r="6" spans="1:4" x14ac:dyDescent="0.2">
      <c r="B6" t="s">
        <v>62</v>
      </c>
      <c r="C6" s="179">
        <f>IF('DOE25'!H664+'DOE25'!H669=0,0,ROUND('DOE25'!H671,0))</f>
        <v>15522</v>
      </c>
    </row>
    <row r="7" spans="1:4" x14ac:dyDescent="0.2">
      <c r="B7" t="s">
        <v>705</v>
      </c>
      <c r="C7" s="179">
        <f>IF('DOE25'!I664+'DOE25'!I669=0,0,ROUND('DOE25'!I671,0))</f>
        <v>14366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3840030</v>
      </c>
      <c r="D10" s="182">
        <f>ROUND((C10/$C$28)*100,1)</f>
        <v>39.799999999999997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2171557</v>
      </c>
      <c r="D11" s="182">
        <f>ROUND((C11/$C$28)*100,1)</f>
        <v>22.5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89798</v>
      </c>
      <c r="D12" s="182">
        <f>ROUND((C12/$C$28)*100,1)</f>
        <v>0.9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172056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393206</v>
      </c>
      <c r="D15" s="182">
        <f t="shared" ref="D15:D27" si="0">ROUND((C15/$C$28)*100,1)</f>
        <v>4.0999999999999996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415761</v>
      </c>
      <c r="D16" s="182">
        <f t="shared" si="0"/>
        <v>4.3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479467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540343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40598</v>
      </c>
      <c r="D19" s="182">
        <f t="shared" si="0"/>
        <v>0.4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763429</v>
      </c>
      <c r="D20" s="182">
        <f t="shared" si="0"/>
        <v>7.9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427382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106081</v>
      </c>
      <c r="D25" s="182">
        <f t="shared" si="0"/>
        <v>1.1000000000000001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217286.07</v>
      </c>
      <c r="D27" s="182">
        <f t="shared" si="0"/>
        <v>2.2999999999999998</v>
      </c>
    </row>
    <row r="28" spans="1:4" x14ac:dyDescent="0.2">
      <c r="B28" s="187" t="s">
        <v>723</v>
      </c>
      <c r="C28" s="180">
        <f>SUM(C10:C27)</f>
        <v>9656994.0700000003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9656994.0700000003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275000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4752690</v>
      </c>
      <c r="D35" s="182">
        <f t="shared" ref="D35:D40" si="1">ROUND((C35/$C$41)*100,1)</f>
        <v>47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38017.549999999814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3929689</v>
      </c>
      <c r="D37" s="182">
        <f t="shared" si="1"/>
        <v>38.799999999999997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234978</v>
      </c>
      <c r="D38" s="182">
        <f t="shared" si="1"/>
        <v>2.2999999999999998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1163695</v>
      </c>
      <c r="D39" s="182">
        <f t="shared" si="1"/>
        <v>11.5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10119069.550000001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B5" sqref="B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SAU# 64 - Milton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19</v>
      </c>
      <c r="B4" s="219">
        <v>3</v>
      </c>
      <c r="C4" s="285" t="s">
        <v>910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2013-09-20T12:10:19Z</cp:lastPrinted>
  <dcterms:created xsi:type="dcterms:W3CDTF">1997-12-04T19:04:30Z</dcterms:created>
  <dcterms:modified xsi:type="dcterms:W3CDTF">2013-12-05T18:51:34Z</dcterms:modified>
</cp:coreProperties>
</file>