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32" i="1" l="1"/>
  <c r="F532" i="1"/>
  <c r="G531" i="1"/>
  <c r="F531" i="1"/>
  <c r="H574" i="1"/>
  <c r="J603" i="1"/>
  <c r="I603" i="1"/>
  <c r="H603" i="1"/>
  <c r="F232" i="1"/>
  <c r="G242" i="1"/>
  <c r="G224" i="1"/>
  <c r="G206" i="1"/>
  <c r="G233" i="1"/>
  <c r="G215" i="1"/>
  <c r="G197" i="1"/>
  <c r="K232" i="1"/>
  <c r="J232" i="1"/>
  <c r="I232" i="1"/>
  <c r="H232" i="1"/>
  <c r="G232" i="1"/>
  <c r="K214" i="1"/>
  <c r="J214" i="1"/>
  <c r="I214" i="1"/>
  <c r="H214" i="1"/>
  <c r="G214" i="1"/>
  <c r="F214" i="1"/>
  <c r="K196" i="1"/>
  <c r="J196" i="1"/>
  <c r="I196" i="1"/>
  <c r="H196" i="1"/>
  <c r="G196" i="1"/>
  <c r="F196" i="1"/>
  <c r="K242" i="1"/>
  <c r="J242" i="1"/>
  <c r="I242" i="1"/>
  <c r="H242" i="1"/>
  <c r="F242" i="1"/>
  <c r="J224" i="1"/>
  <c r="I224" i="1"/>
  <c r="H224" i="1"/>
  <c r="F224" i="1"/>
  <c r="J206" i="1"/>
  <c r="I206" i="1"/>
  <c r="H206" i="1"/>
  <c r="F206" i="1"/>
  <c r="I233" i="1"/>
  <c r="H233" i="1"/>
  <c r="F233" i="1"/>
  <c r="I215" i="1"/>
  <c r="H215" i="1"/>
  <c r="F215" i="1"/>
  <c r="J197" i="1"/>
  <c r="I197" i="1"/>
  <c r="H197" i="1"/>
  <c r="F197" i="1"/>
  <c r="K219" i="1"/>
  <c r="K237" i="1"/>
  <c r="I237" i="1"/>
  <c r="H237" i="1"/>
  <c r="G237" i="1"/>
  <c r="F237" i="1"/>
  <c r="I219" i="1"/>
  <c r="H219" i="1"/>
  <c r="G219" i="1"/>
  <c r="F219" i="1"/>
  <c r="K201" i="1"/>
  <c r="I201" i="1"/>
  <c r="H201" i="1"/>
  <c r="G201" i="1"/>
  <c r="F201" i="1"/>
  <c r="I220" i="1"/>
  <c r="H220" i="1"/>
  <c r="G220" i="1"/>
  <c r="I238" i="1"/>
  <c r="H238" i="1"/>
  <c r="G238" i="1"/>
  <c r="F238" i="1"/>
  <c r="F220" i="1"/>
  <c r="J202" i="1"/>
  <c r="I202" i="1"/>
  <c r="G202" i="1"/>
  <c r="F202" i="1"/>
  <c r="F275" i="1"/>
  <c r="H43" i="1"/>
  <c r="G282" i="1"/>
  <c r="F282" i="1"/>
  <c r="I278" i="1"/>
  <c r="H278" i="1"/>
  <c r="G278" i="1"/>
  <c r="F278" i="1"/>
  <c r="I275" i="1"/>
  <c r="G275" i="1"/>
  <c r="H24" i="1" l="1"/>
  <c r="H23" i="1"/>
  <c r="H13" i="1"/>
  <c r="H14" i="1"/>
  <c r="H62" i="1"/>
  <c r="F11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C121" i="2" s="1"/>
  <c r="L223" i="1"/>
  <c r="L241" i="1"/>
  <c r="F16" i="13"/>
  <c r="G16" i="13"/>
  <c r="L208" i="1"/>
  <c r="L226" i="1"/>
  <c r="L244" i="1"/>
  <c r="C124" i="2" s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 s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C122" i="2" s="1"/>
  <c r="L242" i="1"/>
  <c r="F15" i="13"/>
  <c r="G15" i="13"/>
  <c r="L207" i="1"/>
  <c r="C21" i="10" s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E56" i="2" s="1"/>
  <c r="E61" i="2" s="1"/>
  <c r="E62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20" i="10"/>
  <c r="L249" i="1"/>
  <c r="L331" i="1"/>
  <c r="C23" i="10" s="1"/>
  <c r="L253" i="1"/>
  <c r="C25" i="10"/>
  <c r="L267" i="1"/>
  <c r="L268" i="1"/>
  <c r="L348" i="1"/>
  <c r="L349" i="1"/>
  <c r="I664" i="1"/>
  <c r="I669" i="1"/>
  <c r="F660" i="1"/>
  <c r="G661" i="1"/>
  <c r="H661" i="1"/>
  <c r="I668" i="1"/>
  <c r="C42" i="10"/>
  <c r="C32" i="10"/>
  <c r="L373" i="1"/>
  <c r="L374" i="1"/>
  <c r="L375" i="1"/>
  <c r="L376" i="1"/>
  <c r="L377" i="1"/>
  <c r="L378" i="1"/>
  <c r="C29" i="10" s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I551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E31" i="2" s="1"/>
  <c r="F22" i="2"/>
  <c r="I448" i="1"/>
  <c r="J23" i="1" s="1"/>
  <c r="C23" i="2"/>
  <c r="D23" i="2"/>
  <c r="D31" i="2" s="1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E110" i="2"/>
  <c r="C111" i="2"/>
  <c r="C112" i="2"/>
  <c r="E112" i="2"/>
  <c r="C113" i="2"/>
  <c r="E113" i="2"/>
  <c r="D114" i="2"/>
  <c r="F114" i="2"/>
  <c r="G114" i="2"/>
  <c r="E117" i="2"/>
  <c r="E118" i="2"/>
  <c r="E120" i="2"/>
  <c r="E121" i="2"/>
  <c r="E122" i="2"/>
  <c r="E123" i="2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J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8" i="1" s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H638" i="1" s="1"/>
  <c r="J638" i="1" s="1"/>
  <c r="G460" i="1"/>
  <c r="H460" i="1"/>
  <c r="I460" i="1"/>
  <c r="H641" i="1" s="1"/>
  <c r="F469" i="1"/>
  <c r="G469" i="1"/>
  <c r="G475" i="1" s="1"/>
  <c r="H622" i="1" s="1"/>
  <c r="J622" i="1" s="1"/>
  <c r="H469" i="1"/>
  <c r="I469" i="1"/>
  <c r="J469" i="1"/>
  <c r="J475" i="1" s="1"/>
  <c r="H625" i="1" s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J544" i="1" s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K544" i="1" s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4" i="1" s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9" i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9" i="1"/>
  <c r="G640" i="1"/>
  <c r="H640" i="1"/>
  <c r="G642" i="1"/>
  <c r="H642" i="1"/>
  <c r="G643" i="1"/>
  <c r="J643" i="1" s="1"/>
  <c r="H643" i="1"/>
  <c r="G649" i="1"/>
  <c r="G651" i="1"/>
  <c r="H651" i="1"/>
  <c r="G652" i="1"/>
  <c r="H652" i="1"/>
  <c r="G653" i="1"/>
  <c r="H653" i="1"/>
  <c r="H654" i="1"/>
  <c r="J654" i="1" s="1"/>
  <c r="F191" i="1"/>
  <c r="L255" i="1"/>
  <c r="G163" i="2"/>
  <c r="G159" i="2"/>
  <c r="C18" i="2"/>
  <c r="F31" i="2"/>
  <c r="C26" i="10"/>
  <c r="L350" i="1"/>
  <c r="C69" i="2"/>
  <c r="G161" i="2"/>
  <c r="D61" i="2"/>
  <c r="D62" i="2" s="1"/>
  <c r="E49" i="2"/>
  <c r="D18" i="13"/>
  <c r="C18" i="13" s="1"/>
  <c r="F102" i="2"/>
  <c r="D18" i="2"/>
  <c r="D17" i="13"/>
  <c r="C17" i="13" s="1"/>
  <c r="G158" i="2"/>
  <c r="C90" i="2"/>
  <c r="G80" i="2"/>
  <c r="F77" i="2"/>
  <c r="F80" i="2" s="1"/>
  <c r="F61" i="2"/>
  <c r="F62" i="2" s="1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C61" i="2"/>
  <c r="C62" i="2" s="1"/>
  <c r="C31" i="2"/>
  <c r="G61" i="2"/>
  <c r="D29" i="13"/>
  <c r="C29" i="13" s="1"/>
  <c r="D19" i="13"/>
  <c r="C19" i="13" s="1"/>
  <c r="E77" i="2"/>
  <c r="E80" i="2" s="1"/>
  <c r="L426" i="1"/>
  <c r="H111" i="1"/>
  <c r="F111" i="1"/>
  <c r="J640" i="1"/>
  <c r="K604" i="1"/>
  <c r="G647" i="1" s="1"/>
  <c r="J570" i="1"/>
  <c r="K570" i="1"/>
  <c r="L432" i="1"/>
  <c r="D80" i="2"/>
  <c r="I168" i="1"/>
  <c r="J642" i="1"/>
  <c r="F168" i="1"/>
  <c r="J139" i="1"/>
  <c r="F570" i="1"/>
  <c r="G22" i="2"/>
  <c r="H139" i="1"/>
  <c r="L400" i="1"/>
  <c r="C138" i="2" s="1"/>
  <c r="L392" i="1"/>
  <c r="C137" i="2" s="1"/>
  <c r="F22" i="13"/>
  <c r="H25" i="13"/>
  <c r="C25" i="13" s="1"/>
  <c r="H570" i="1"/>
  <c r="L559" i="1"/>
  <c r="G191" i="1"/>
  <c r="C35" i="10"/>
  <c r="L308" i="1"/>
  <c r="C49" i="2"/>
  <c r="L569" i="1"/>
  <c r="I570" i="1"/>
  <c r="G36" i="2"/>
  <c r="C22" i="13"/>
  <c r="H33" i="13"/>
  <c r="A13" i="12" l="1"/>
  <c r="A40" i="12"/>
  <c r="K550" i="1"/>
  <c r="F551" i="1"/>
  <c r="G544" i="1"/>
  <c r="L523" i="1"/>
  <c r="I544" i="1"/>
  <c r="L533" i="1"/>
  <c r="K549" i="1"/>
  <c r="K548" i="1"/>
  <c r="H544" i="1"/>
  <c r="J551" i="1"/>
  <c r="G551" i="1"/>
  <c r="K551" i="1"/>
  <c r="L538" i="1"/>
  <c r="C108" i="2"/>
  <c r="D14" i="13"/>
  <c r="C14" i="13" s="1"/>
  <c r="C11" i="10"/>
  <c r="C109" i="2"/>
  <c r="C18" i="10"/>
  <c r="D12" i="13"/>
  <c r="C12" i="13" s="1"/>
  <c r="C120" i="2"/>
  <c r="C15" i="10"/>
  <c r="C117" i="2"/>
  <c r="D6" i="13"/>
  <c r="C6" i="13" s="1"/>
  <c r="C118" i="2"/>
  <c r="L228" i="1"/>
  <c r="G659" i="1" s="1"/>
  <c r="G663" i="1" s="1"/>
  <c r="G671" i="1" s="1"/>
  <c r="C5" i="10" s="1"/>
  <c r="D7" i="13"/>
  <c r="C7" i="13" s="1"/>
  <c r="E8" i="13"/>
  <c r="C8" i="13" s="1"/>
  <c r="C119" i="2"/>
  <c r="K256" i="1"/>
  <c r="K270" i="1" s="1"/>
  <c r="C19" i="10"/>
  <c r="E13" i="13"/>
  <c r="C13" i="13" s="1"/>
  <c r="G256" i="1"/>
  <c r="G270" i="1" s="1"/>
  <c r="E16" i="13"/>
  <c r="L246" i="1"/>
  <c r="J256" i="1"/>
  <c r="J270" i="1" s="1"/>
  <c r="H256" i="1"/>
  <c r="H270" i="1" s="1"/>
  <c r="F256" i="1"/>
  <c r="F270" i="1" s="1"/>
  <c r="K597" i="1"/>
  <c r="G646" i="1" s="1"/>
  <c r="J650" i="1"/>
  <c r="I256" i="1"/>
  <c r="I270" i="1" s="1"/>
  <c r="D15" i="13"/>
  <c r="C15" i="13" s="1"/>
  <c r="F661" i="1"/>
  <c r="I661" i="1" s="1"/>
  <c r="L210" i="1"/>
  <c r="G648" i="1"/>
  <c r="J648" i="1" s="1"/>
  <c r="C123" i="2"/>
  <c r="H646" i="1"/>
  <c r="J646" i="1" s="1"/>
  <c r="D5" i="13"/>
  <c r="C5" i="13" s="1"/>
  <c r="F475" i="1"/>
  <c r="H621" i="1" s="1"/>
  <c r="C50" i="2"/>
  <c r="G621" i="1"/>
  <c r="J616" i="1"/>
  <c r="E50" i="2"/>
  <c r="E119" i="2"/>
  <c r="L327" i="1"/>
  <c r="C17" i="10"/>
  <c r="C16" i="10"/>
  <c r="C13" i="10"/>
  <c r="H337" i="1"/>
  <c r="H351" i="1" s="1"/>
  <c r="G337" i="1"/>
  <c r="G351" i="1" s="1"/>
  <c r="F337" i="1"/>
  <c r="F351" i="1" s="1"/>
  <c r="E124" i="2"/>
  <c r="E127" i="2"/>
  <c r="H168" i="1"/>
  <c r="H475" i="1"/>
  <c r="H623" i="1" s="1"/>
  <c r="E18" i="2"/>
  <c r="E84" i="2"/>
  <c r="L289" i="1"/>
  <c r="E108" i="2"/>
  <c r="E111" i="2"/>
  <c r="C10" i="10"/>
  <c r="G623" i="1"/>
  <c r="G644" i="1"/>
  <c r="J644" i="1" s="1"/>
  <c r="I475" i="1"/>
  <c r="H624" i="1" s="1"/>
  <c r="J624" i="1" s="1"/>
  <c r="J635" i="1"/>
  <c r="J639" i="1"/>
  <c r="F129" i="2"/>
  <c r="F143" i="2" s="1"/>
  <c r="F144" i="2" s="1"/>
  <c r="C80" i="2"/>
  <c r="C103" i="2" s="1"/>
  <c r="G660" i="1"/>
  <c r="H660" i="1"/>
  <c r="I660" i="1" s="1"/>
  <c r="D126" i="2"/>
  <c r="D127" i="2" s="1"/>
  <c r="D144" i="2" s="1"/>
  <c r="L361" i="1"/>
  <c r="C27" i="10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A22" i="12"/>
  <c r="G49" i="2"/>
  <c r="G50" i="2" s="1"/>
  <c r="J651" i="1"/>
  <c r="J641" i="1"/>
  <c r="G570" i="1"/>
  <c r="I433" i="1"/>
  <c r="G433" i="1"/>
  <c r="I662" i="1"/>
  <c r="L544" i="1" l="1"/>
  <c r="J621" i="1"/>
  <c r="C114" i="2"/>
  <c r="C127" i="2"/>
  <c r="C144" i="2" s="1"/>
  <c r="L256" i="1"/>
  <c r="L270" i="1" s="1"/>
  <c r="G631" i="1" s="1"/>
  <c r="J631" i="1" s="1"/>
  <c r="H647" i="1"/>
  <c r="J647" i="1" s="1"/>
  <c r="H659" i="1"/>
  <c r="H663" i="1" s="1"/>
  <c r="H666" i="1" s="1"/>
  <c r="E33" i="13"/>
  <c r="D35" i="13" s="1"/>
  <c r="C16" i="13"/>
  <c r="F659" i="1"/>
  <c r="F663" i="1" s="1"/>
  <c r="F666" i="1" s="1"/>
  <c r="E114" i="2"/>
  <c r="E144" i="2" s="1"/>
  <c r="C28" i="10"/>
  <c r="D22" i="10" s="1"/>
  <c r="J623" i="1"/>
  <c r="D31" i="13"/>
  <c r="C31" i="13" s="1"/>
  <c r="L337" i="1"/>
  <c r="L351" i="1" s="1"/>
  <c r="G632" i="1" s="1"/>
  <c r="J632" i="1" s="1"/>
  <c r="I192" i="1"/>
  <c r="G629" i="1" s="1"/>
  <c r="J629" i="1" s="1"/>
  <c r="H645" i="1"/>
  <c r="J645" i="1" s="1"/>
  <c r="G666" i="1"/>
  <c r="G634" i="1"/>
  <c r="J634" i="1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F671" i="1" l="1"/>
  <c r="C4" i="10" s="1"/>
  <c r="I659" i="1"/>
  <c r="I663" i="1" s="1"/>
  <c r="I671" i="1" s="1"/>
  <c r="C7" i="10" s="1"/>
  <c r="D26" i="10"/>
  <c r="D24" i="10"/>
  <c r="D10" i="10"/>
  <c r="D23" i="10"/>
  <c r="D17" i="10"/>
  <c r="D25" i="10"/>
  <c r="D20" i="10"/>
  <c r="D12" i="10"/>
  <c r="D27" i="10"/>
  <c r="D15" i="10"/>
  <c r="D16" i="10"/>
  <c r="D18" i="10"/>
  <c r="C30" i="10"/>
  <c r="D19" i="10"/>
  <c r="D13" i="10"/>
  <c r="D11" i="10"/>
  <c r="D21" i="10"/>
  <c r="D33" i="13"/>
  <c r="D36" i="13" s="1"/>
  <c r="H671" i="1"/>
  <c r="C6" i="10" s="1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<sst xmlns="http://schemas.openxmlformats.org/spreadsheetml/2006/main" count="3944" uniqueCount="910">
  <si>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</si>
  <si>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</si>
  <si>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</si>
  <si>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</si>
  <si>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</si>
  <si>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</si>
  <si>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</si>
  <si>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</si>
  <si>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</si>
  <si>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</si>
  <si>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</si>
  <si>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</si>
  <si>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</si>
  <si>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</si>
  <si>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</si>
  <si>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</si>
  <si>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</si>
  <si>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</si>
  <si>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</si>
  <si>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</si>
  <si>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</si>
  <si>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</si>
  <si>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</si>
  <si>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</si>
  <si>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</si>
  <si>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</si>
  <si>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</si>
  <si>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</si>
  <si>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</si>
  <si>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</si>
  <si>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</si>
  <si>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</si>
  <si>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</si>
  <si>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</si>
  <si>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</si>
  <si>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</si>
  <si>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</si>
  <si>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</si>
  <si>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</si>
  <si>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</si>
  <si>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</si>
  <si>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</si>
  <si>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</si>
  <si>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</si>
  <si>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</si>
  <si>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</si>
  <si>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</si>
  <si>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</si>
  <si>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</si>
  <si>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</si>
  <si>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</si>
  <si>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</si>
  <si>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</si>
  <si>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</si>
  <si>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</si>
  <si>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</si>
  <si>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</si>
  <si>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</si>
  <si>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</si>
  <si>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</si>
  <si>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</si>
  <si>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</si>
  <si>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</si>
  <si>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</si>
  <si>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</si>
  <si>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</si>
  <si>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</si>
  <si>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</si>
  <si>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</si>
  <si>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</si>
  <si>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</si>
  <si>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</si>
  <si>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</si>
  <si>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</si>
  <si>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</si>
  <si>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</si>
  <si>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</si>
  <si>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</si>
  <si>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</si>
  <si>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</si>
  <si>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</si>
  <si>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</si>
  <si>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</si>
  <si>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</si>
  <si>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</si>
  <si>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</si>
  <si>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</si>
  <si>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</si>
  <si>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</si>
  <si>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</si>
  <si>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</si>
  <si>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</si>
  <si>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</si>
  <si>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</si>
  <si>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</si>
  <si>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</si>
  <si>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</si>
  <si>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</si>
  <si>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</si>
  <si>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</si>
  <si>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</si>
  <si>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</si>
  <si>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</si>
  <si>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</si>
  <si>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</si>
  <si>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</si>
  <si>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</si>
  <si>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</si>
  <si>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</si>
  <si>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</si>
  <si>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</si>
  <si>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</si>
  <si>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</si>
  <si>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</si>
  <si>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</si>
  <si>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</si>
  <si>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</si>
  <si>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</si>
  <si>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</si>
  <si>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</si>
  <si>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</si>
  <si>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</si>
  <si>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</si>
  <si>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</si>
  <si>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</si>
  <si>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</si>
  <si>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</si>
  <si>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</si>
  <si>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</si>
  <si>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</si>
  <si>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</si>
  <si>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</si>
  <si>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</si>
  <si>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</si>
  <si>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</si>
  <si>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</si>
  <si>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</si>
  <si>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</si>
  <si>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</si>
  <si>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</si>
  <si>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</si>
  <si>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</si>
  <si>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</si>
  <si>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</si>
  <si>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</si>
  <si>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</si>
  <si>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</si>
  <si>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</si>
  <si>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</si>
  <si>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</si>
  <si>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</si>
  <si>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</si>
  <si>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</si>
  <si>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</si>
  <si>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</si>
  <si>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</si>
  <si>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</si>
  <si>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</si>
  <si>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</si>
  <si>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</si>
  <si>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</si>
  <si>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</si>
  <si>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</si>
  <si>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</si>
  <si>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</si>
  <si>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</si>
  <si>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</si>
  <si>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</si>
  <si>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</si>
  <si>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</si>
  <si>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</si>
  <si>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</si>
  <si>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</si>
  <si>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</si>
  <si>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</si>
  <si>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</si>
  <si>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</si>
  <si>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</si>
  <si>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</si>
  <si>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</si>
  <si>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</si>
  <si>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</si>
  <si>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</si>
  <si>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</si>
  <si>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</si>
  <si>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</si>
  <si>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</si>
  <si>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</si>
  <si>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</si>
  <si>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</si>
  <si>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</si>
  <si>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</si>
  <si>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</si>
  <si>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</si>
  <si>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</si>
  <si>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</si>
  <si>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</si>
  <si>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</si>
  <si>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</si>
  <si>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</si>
  <si>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</si>
  <si>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</si>
  <si>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</si>
  <si>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</si>
  <si>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</si>
  <si>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</si>
  <si>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</si>
  <si>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</si>
  <si>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</si>
  <si>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</si>
  <si>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</si>
  <si>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</si>
  <si>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</si>
  <si>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</si>
  <si>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</si>
  <si>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</si>
  <si>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</si>
  <si>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</si>
  <si>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</si>
  <si>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</si>
  <si>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</si>
  <si>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</si>
  <si>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</si>
  <si>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</si>
  <si>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</si>
  <si>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</si>
  <si>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</si>
  <si>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</si>
  <si>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</si>
  <si>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</si>
  <si>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</si>
  <si>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</si>
  <si>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</si>
  <si>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</si>
  <si>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</si>
  <si>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</si>
  <si>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</si>
  <si>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</si>
  <si>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</si>
  <si>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</si>
  <si>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</si>
  <si>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</si>
  <si>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</si>
  <si>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</si>
  <si>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</si>
  <si>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</si>
  <si>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</si>
  <si>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</si>
  <si>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</si>
  <si>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</si>
  <si>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</si>
  <si>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</si>
  <si>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</si>
  <si>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</si>
  <si>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</si>
  <si>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</si>
  <si>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</si>
  <si>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</si>
  <si>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</si>
  <si>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</si>
  <si>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</si>
  <si>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</si>
  <si>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</si>
  <si>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</si>
  <si>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</si>
  <si>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</si>
  <si>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</si>
  <si>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</si>
  <si>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</si>
  <si>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</si>
  <si>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</si>
  <si>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</si>
  <si>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</si>
  <si>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</si>
  <si>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</si>
  <si>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</si>
  <si>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</si>
  <si>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</si>
  <si>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</si>
  <si>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</si>
  <si>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</si>
  <si>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</si>
  <si>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</si>
  <si>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</si>
  <si>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</si>
  <si>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</si>
  <si>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</si>
  <si>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</si>
  <si>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</si>
  <si>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</si>
  <si>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</si>
  <si>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</si>
  <si>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</si>
  <si>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</si>
  <si>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</si>
  <si>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</si>
  <si>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</si>
  <si>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</si>
  <si>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</si>
  <si>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</si>
  <si>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</si>
  <si>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</si>
  <si>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</si>
  <si>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</si>
  <si>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</si>
  <si>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</si>
  <si>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</si>
  <si>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</si>
  <si>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</si>
  <si>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</si>
  <si>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</si>
  <si>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</si>
  <si>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</si>
  <si>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</si>
  <si>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</si>
  <si>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</si>
  <si>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</si>
  <si>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</si>
  <si>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</si>
  <si>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</si>
  <si>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</si>
  <si>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</si>
  <si>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</si>
  <si>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</si>
  <si>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</si>
  <si>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</si>
  <si>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</si>
  <si>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</si>
  <si>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</si>
  <si>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</si>
  <si>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</si>
  <si>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</si>
  <si>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</si>
  <si>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</si>
  <si>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</si>
  <si>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</si>
  <si>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</si>
  <si>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</si>
  <si>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</si>
  <si>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</si>
  <si>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</si>
  <si>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</si>
  <si>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</si>
  <si>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</si>
  <si>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</si>
  <si>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</si>
  <si>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</si>
  <si>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</si>
  <si>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</si>
  <si>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</si>
  <si>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</si>
  <si>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</si>
  <si>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</si>
  <si>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</si>
  <si>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</si>
  <si>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</si>
  <si>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</si>
  <si>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</si>
  <si>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</si>
  <si>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</si>
  <si>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</si>
  <si>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</si>
  <si>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</si>
  <si>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</si>
  <si>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</si>
  <si>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</si>
  <si>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</si>
  <si>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</si>
  <si>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</si>
  <si>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</si>
  <si>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</si>
  <si>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</si>
  <si>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</si>
  <si>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</si>
  <si>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</si>
  <si>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</si>
  <si>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</si>
  <si>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</si>
  <si>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</si>
  <si>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</si>
  <si>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</si>
  <si>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</si>
  <si>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</si>
  <si>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</si>
  <si>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</si>
  <si>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</si>
  <si>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</si>
  <si>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</si>
  <si>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</si>
  <si>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</si>
  <si>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</si>
  <si>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</si>
  <si>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</si>
  <si>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</si>
  <si>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</si>
  <si>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</si>
  <si>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</si>
  <si>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</si>
  <si>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</si>
  <si>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</si>
  <si>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</si>
  <si>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</si>
  <si>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</si>
  <si>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</si>
  <si>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</si>
  <si>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</si>
  <si>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</si>
  <si>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</si>
  <si>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</si>
  <si>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</si>
  <si>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</si>
  <si>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</si>
  <si>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</si>
  <si>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</si>
  <si>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</si>
  <si>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</si>
  <si>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</si>
  <si>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</si>
  <si>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</si>
  <si>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</si>
  <si>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</si>
  <si>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</si>
  <si>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</si>
  <si>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</si>
  <si>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</si>
  <si>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</si>
  <si>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</si>
  <si>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</si>
  <si>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</si>
  <si>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</si>
  <si>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</si>
  <si>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</si>
  <si>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</si>
  <si>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</si>
  <si>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</si>
  <si>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</si>
  <si>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</si>
  <si>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</si>
  <si>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</si>
  <si>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</si>
  <si>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</si>
  <si>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</si>
  <si>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</si>
  <si>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</si>
  <si>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</si>
  <si>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</si>
  <si>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</si>
  <si>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</si>
  <si>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</si>
  <si>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</si>
  <si>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</si>
  <si>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</si>
  <si>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</si>
  <si>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</si>
  <si>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</si>
  <si>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</si>
  <si>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</si>
  <si>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</si>
  <si>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</si>
  <si>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</si>
  <si>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</si>
  <si>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</si>
  <si>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</si>
  <si>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</si>
  <si>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</si>
  <si>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</si>
  <si>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</si>
  <si>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</si>
  <si>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</si>
  <si>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</si>
  <si>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</si>
  <si>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</si>
  <si>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</si>
  <si>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</si>
  <si>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</si>
  <si>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</si>
  <si>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</si>
  <si>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</si>
  <si>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</si>
  <si>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</si>
  <si>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</si>
  <si>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</si>
  <si>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</si>
  <si>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</si>
  <si>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</si>
  <si>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</si>
  <si>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</si>
  <si>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</si>
  <si>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</si>
  <si>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</si>
  <si>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</si>
  <si>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</si>
  <si>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</si>
  <si>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</si>
  <si>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</si>
  <si>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</si>
  <si>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</si>
  <si>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</si>
  <si>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</si>
  <si>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</si>
  <si>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</si>
  <si>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</si>
  <si>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</si>
  <si>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</si>
  <si>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</si>
  <si>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</si>
  <si>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</si>
  <si>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</si>
  <si>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</si>
  <si>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</si>
  <si>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</si>
  <si>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</si>
  <si>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</si>
  <si>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</si>
  <si>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</si>
  <si>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</si>
  <si>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</si>
  <si>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</si>
  <si>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</si>
  <si>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</si>
  <si>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</si>
  <si>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</si>
  <si>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</si>
  <si>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</si>
  <si>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</si>
  <si>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</si>
  <si>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</si>
  <si>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</si>
  <si>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</si>
  <si>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</si>
  <si>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</si>
  <si>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</si>
  <si>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</si>
  <si>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</si>
  <si>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</si>
  <si>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</si>
  <si>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</si>
  <si>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</si>
  <si>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</si>
  <si>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</si>
  <si>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</si>
  <si>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</si>
  <si>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</si>
  <si>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</si>
  <si>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</si>
  <si>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</si>
  <si>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</si>
  <si>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</si>
  <si>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</si>
  <si>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</si>
  <si>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</si>
  <si>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</si>
  <si>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</si>
  <si>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</si>
  <si>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</si>
  <si>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</si>
  <si>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</si>
  <si>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</si>
  <si>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</si>
  <si>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</si>
  <si>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</si>
  <si>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</si>
  <si>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</si>
  <si>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</si>
  <si>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</si>
  <si>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</si>
  <si>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</si>
  <si>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</si>
  <si>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</si>
  <si>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</si>
  <si>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</si>
  <si>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</si>
  <si>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</si>
  <si>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</si>
  <si>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</si>
  <si>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</si>
  <si>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</si>
  <si>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</si>
  <si>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</si>
  <si>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</si>
  <si>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</si>
  <si>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</si>
  <si>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</si>
  <si>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</si>
  <si>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</si>
  <si>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</si>
  <si>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</si>
  <si>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</si>
  <si>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</si>
  <si>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</si>
  <si>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</si>
  <si>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</si>
  <si>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</si>
  <si>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</si>
  <si>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</si>
  <si>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</si>
  <si>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</si>
  <si>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</si>
  <si>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</si>
  <si>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</si>
  <si>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</si>
  <si>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</si>
  <si>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</si>
  <si>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</si>
  <si>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</si>
  <si>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</si>
  <si>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</si>
  <si>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</si>
  <si>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</si>
  <si>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</si>
  <si>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</si>
  <si>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</si>
  <si>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</si>
  <si>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</si>
  <si>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</si>
  <si>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</si>
  <si>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</si>
  <si>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</si>
  <si>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</si>
  <si>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</si>
  <si>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</si>
  <si>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</si>
  <si>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</si>
  <si>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</si>
  <si>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</si>
  <si>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</si>
  <si>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</si>
  <si>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</si>
  <si>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</si>
  <si>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</si>
  <si>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</si>
  <si>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</si>
  <si>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</si>
  <si>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</si>
  <si>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</si>
  <si>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</si>
  <si>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</si>
  <si>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</si>
  <si>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</si>
  <si>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</si>
  <si>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</si>
  <si>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</si>
  <si>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</si>
  <si>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</si>
  <si>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</si>
  <si>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</si>
  <si>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</si>
  <si>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</si>
  <si>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</si>
  <si>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</si>
  <si>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</si>
  <si>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</si>
  <si>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</si>
  <si>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</si>
  <si>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</si>
  <si>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</si>
  <si>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</si>
  <si>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</si>
  <si>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</si>
  <si>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</si>
  <si>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</si>
  <si>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</si>
  <si>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</si>
  <si>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</si>
  <si>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</si>
  <si>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</si>
  <si>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</si>
  <si>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</si>
  <si>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</si>
  <si>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</si>
  <si>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</si>
  <si>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</si>
  <si>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</si>
  <si>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</si>
  <si>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</si>
  <si>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</si>
  <si>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</si>
  <si>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</si>
  <si>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</si>
  <si>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</si>
  <si>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</si>
  <si>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</si>
  <si>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</si>
  <si>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</si>
  <si>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</si>
  <si>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</si>
  <si>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</si>
  <si>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</si>
  <si>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</si>
  <si>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</si>
  <si>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</si>
  <si>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</si>
  <si>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</si>
  <si>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</si>
  <si>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</si>
  <si>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</si>
  <si>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</si>
  <si>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</si>
  <si>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</si>
  <si>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</si>
  <si>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</si>
  <si>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</si>
  <si>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</si>
  <si>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</si>
  <si>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</si>
  <si>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</si>
  <si>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</si>
  <si>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</si>
  <si>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</si>
  <si>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</si>
  <si>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</si>
  <si>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</si>
  <si>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</si>
  <si>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</si>
  <si>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</si>
  <si>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</si>
  <si>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</si>
  <si>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</si>
  <si>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</si>
  <si>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</si>
  <si>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</si>
  <si>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</si>
  <si>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</si>
  <si>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</si>
  <si>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</si>
  <si>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</si>
  <si>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</si>
  <si>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</si>
  <si>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</si>
  <si>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</si>
  <si>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</si>
  <si>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</si>
  <si>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</si>
  <si>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</si>
  <si>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</si>
  <si>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</si>
  <si>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</si>
  <si>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</si>
  <si>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</si>
  <si>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</si>
  <si>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</si>
  <si>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</si>
  <si>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</si>
  <si>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</si>
  <si>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</si>
  <si>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</si>
  <si>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</si>
  <si>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</si>
  <si>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</si>
  <si>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</si>
  <si>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</si>
  <si>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</si>
  <si>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</si>
  <si>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</si>
  <si>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</si>
  <si>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</si>
  <si>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</si>
  <si>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</si>
  <si>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</si>
  <si>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</si>
  <si>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</si>
  <si>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</si>
  <si>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</si>
  <si>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</si>
  <si>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</si>
  <si>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</si>
  <si>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</si>
  <si>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</si>
  <si>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</si>
  <si>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</si>
  <si>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</si>
  <si>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</si>
  <si>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</si>
  <si>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</si>
  <si>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</si>
  <si>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</si>
  <si>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</si>
  <si>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</si>
  <si>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</si>
  <si>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</si>
  <si>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</si>
  <si>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</si>
  <si>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</si>
  <si>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</si>
  <si>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</si>
  <si>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</si>
  <si>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</si>
  <si>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</si>
  <si>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</si>
  <si>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</si>
  <si>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</si>
  <si>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</si>
  <si>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</si>
  <si>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</si>
  <si>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</si>
  <si>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</si>
  <si>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</si>
  <si>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</si>
  <si>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</si>
  <si>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</si>
  <si>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</si>
  <si>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</si>
  <si>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</si>
  <si>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</si>
  <si>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</si>
  <si>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</si>
  <si>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</si>
  <si>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</si>
  <si>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</si>
  <si>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</si>
  <si>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</si>
  <si>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</si>
  <si>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</si>
  <si>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</si>
  <si>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</si>
  <si>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</si>
  <si>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</si>
  <si>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</si>
  <si>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</si>
  <si>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</si>
  <si>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</si>
  <si>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</si>
  <si>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</si>
  <si>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</si>
  <si>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</si>
  <si>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</si>
  <si>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</si>
  <si>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</si>
  <si>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</si>
  <si>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</si>
  <si>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</si>
  <si>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</si>
  <si>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</si>
  <si>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</si>
  <si>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</si>
  <si>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</si>
  <si>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</si>
  <si>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</si>
  <si>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</si>
  <si>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</si>
  <si>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</si>
  <si>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</si>
  <si>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</si>
  <si>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</si>
  <si>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</si>
  <si>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</si>
  <si>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</si>
  <si>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</si>
  <si>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</si>
  <si>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</si>
  <si>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</si>
  <si>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</si>
  <si>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</si>
  <si>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</si>
  <si>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</si>
  <si>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</si>
  <si>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</si>
  <si>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</si>
  <si>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</si>
  <si>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</si>
  <si>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</si>
  <si>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</si>
  <si>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</si>
  <si>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</si>
  <si>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</si>
  <si>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</si>
  <si>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</si>
  <si>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</si>
  <si>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</si>
  <si>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</si>
  <si>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</si>
  <si>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</si>
  <si>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</si>
  <si>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</si>
  <si>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</si>
  <si>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</si>
  <si>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</si>
  <si>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</si>
  <si>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</si>
  <si>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</si>
  <si>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</si>
  <si>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</si>
  <si>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</si>
  <si>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</si>
  <si>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</si>
  <si>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</si>
  <si>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</si>
  <si>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</si>
  <si>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</si>
  <si>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</si>
  <si>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</si>
  <si>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</si>
  <si>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</si>
  <si>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</si>
  <si>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</si>
  <si>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</si>
  <si>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</si>
  <si>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</si>
  <si>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</si>
  <si>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</si>
  <si>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</si>
  <si>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</si>
  <si>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</si>
  <si>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</si>
  <si>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</si>
  <si>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</si>
  <si>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</si>
  <si>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</si>
  <si>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</si>
  <si>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Monadnock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</si>
</sst>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363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868950</v>
      </c>
      <c r="G9" s="18">
        <v>595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685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261690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683637</v>
      </c>
      <c r="G12" s="18">
        <v>36036</v>
      </c>
      <c r="H12" s="18"/>
      <c r="I12" s="18">
        <v>121356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48112</v>
      </c>
      <c r="H13" s="18">
        <f>13536+799342</f>
        <v>812878</v>
      </c>
      <c r="I13" s="18"/>
      <c r="J13" s="67">
        <f>SUM(I441)</f>
        <v>420073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225110</v>
      </c>
      <c r="G14" s="18">
        <v>64218</v>
      </c>
      <c r="H14" s="18">
        <f>12170+18623</f>
        <v>30793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>
        <v>3417</v>
      </c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2040072</v>
      </c>
      <c r="G19" s="41">
        <f>SUM(G9:G18)</f>
        <v>152378</v>
      </c>
      <c r="H19" s="41">
        <f>SUM(H9:H18)</f>
        <v>843671</v>
      </c>
      <c r="I19" s="41">
        <f>SUM(I9:I18)</f>
        <v>121356</v>
      </c>
      <c r="J19" s="41">
        <f>SUM(J9:J18)</f>
        <v>420073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90</v>
      </c>
      <c r="H22" s="18">
        <v>28577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36036</v>
      </c>
      <c r="G23" s="18"/>
      <c r="H23" s="18">
        <f>11909+777953</f>
        <v>789862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649167</v>
      </c>
      <c r="G24" s="18">
        <v>2059</v>
      </c>
      <c r="H24" s="18">
        <f>1755+359+21389</f>
        <v>23503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402604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1087807</v>
      </c>
      <c r="G32" s="41">
        <f>SUM(G22:G31)</f>
        <v>2149</v>
      </c>
      <c r="H32" s="41">
        <f>SUM(H22:H31)</f>
        <v>841942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150229</v>
      </c>
      <c r="H43" s="18">
        <f>23951-22222</f>
        <v>1729</v>
      </c>
      <c r="I43" s="18"/>
      <c r="J43" s="13">
        <f>SUM(I455)</f>
        <v>4467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121356</v>
      </c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415606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952265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952265</v>
      </c>
      <c r="G50" s="41">
        <f>SUM(G35:G49)</f>
        <v>150229</v>
      </c>
      <c r="H50" s="41">
        <f>SUM(H35:H49)</f>
        <v>1729</v>
      </c>
      <c r="I50" s="41">
        <f>SUM(I35:I49)</f>
        <v>121356</v>
      </c>
      <c r="J50" s="41">
        <f>SUM(J35:J49)</f>
        <v>420073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2040072</v>
      </c>
      <c r="G51" s="41">
        <f>G50+G32</f>
        <v>152378</v>
      </c>
      <c r="H51" s="41">
        <f>H50+H32</f>
        <v>843671</v>
      </c>
      <c r="I51" s="41">
        <f>I50+I32</f>
        <v>121356</v>
      </c>
      <c r="J51" s="41">
        <f>J50+J32</f>
        <v>420073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16714707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16714707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63516</v>
      </c>
      <c r="G62" s="24" t="s">
        <v>289</v>
      </c>
      <c r="H62" s="18">
        <f>24453+72167</f>
        <v>96620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103168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166684</v>
      </c>
      <c r="G78" s="45" t="s">
        <v>289</v>
      </c>
      <c r="H78" s="41">
        <f>SUM(H62:H77)</f>
        <v>96620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18000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18000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/>
      <c r="H95" s="18"/>
      <c r="I95" s="18"/>
      <c r="J95" s="18">
        <v>2040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507589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4558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4633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200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865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12742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274">
        <v>85111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103551</v>
      </c>
      <c r="G110" s="41">
        <f>SUM(G95:G109)</f>
        <v>507589</v>
      </c>
      <c r="H110" s="41">
        <f>SUM(H95:H109)</f>
        <v>4558</v>
      </c>
      <c r="I110" s="41">
        <f>SUM(I95:I109)</f>
        <v>0</v>
      </c>
      <c r="J110" s="41">
        <f>SUM(J95:J109)</f>
        <v>2040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17002942</v>
      </c>
      <c r="G111" s="41">
        <f>G59+G110</f>
        <v>507589</v>
      </c>
      <c r="H111" s="41">
        <f>H59+H78+H93+H110</f>
        <v>101178</v>
      </c>
      <c r="I111" s="41">
        <f>I59+I110</f>
        <v>0</v>
      </c>
      <c r="J111" s="41">
        <f>J59+J110</f>
        <v>2040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10820610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2817879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f>3712+40492</f>
        <v>44204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13682693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630701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333812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5894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970407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14653100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v>883</v>
      </c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883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589284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676634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10046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479767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331297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331297</v>
      </c>
      <c r="G161" s="41">
        <f>SUM(G149:G160)</f>
        <v>479767</v>
      </c>
      <c r="H161" s="41">
        <f>SUM(H149:H160)</f>
        <v>1275964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1100</v>
      </c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331297</v>
      </c>
      <c r="G168" s="41">
        <f>G146+G161+SUM(G162:G167)</f>
        <v>479767</v>
      </c>
      <c r="H168" s="41">
        <f>H146+H161+SUM(H162:H167)</f>
        <v>1277947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>
        <v>1520678</v>
      </c>
      <c r="J178" s="18">
        <v>150000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275">
        <v>49252</v>
      </c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49252</v>
      </c>
      <c r="G182" s="41">
        <f>SUM(G178:G181)</f>
        <v>0</v>
      </c>
      <c r="H182" s="41">
        <f>SUM(H178:H181)</f>
        <v>0</v>
      </c>
      <c r="I182" s="41">
        <f>SUM(I178:I181)</f>
        <v>1520678</v>
      </c>
      <c r="J182" s="41">
        <f>SUM(J178:J181)</f>
        <v>150000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>
        <v>72422</v>
      </c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72422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49252</v>
      </c>
      <c r="G191" s="41">
        <f>G182+SUM(G187:G190)</f>
        <v>0</v>
      </c>
      <c r="H191" s="41">
        <f>+H182+SUM(H187:H190)</f>
        <v>72422</v>
      </c>
      <c r="I191" s="41">
        <f>I176+I182+SUM(I187:I190)</f>
        <v>1520678</v>
      </c>
      <c r="J191" s="41">
        <f>J182</f>
        <v>150000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32036591</v>
      </c>
      <c r="G192" s="47">
        <f>G111+G139+G168+G191</f>
        <v>987356</v>
      </c>
      <c r="H192" s="47">
        <f>H111+H139+H168+H191</f>
        <v>1451547</v>
      </c>
      <c r="I192" s="47">
        <f>I111+I139+I168+I191</f>
        <v>1520678</v>
      </c>
      <c r="J192" s="47">
        <f>J111+J139+J191</f>
        <v>152040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3883689+111967</f>
        <v>3995656</v>
      </c>
      <c r="G196" s="18">
        <f>1243830+778362</f>
        <v>2022192</v>
      </c>
      <c r="H196" s="18">
        <f>181355+2733</f>
        <v>184088</v>
      </c>
      <c r="I196" s="18">
        <f>139901+58176</f>
        <v>198077</v>
      </c>
      <c r="J196" s="18">
        <f>104712+8821</f>
        <v>113533</v>
      </c>
      <c r="K196" s="18">
        <f>6256+69</f>
        <v>6325</v>
      </c>
      <c r="L196" s="19">
        <f>SUM(F196:K196)</f>
        <v>6519871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1790993+203447</f>
        <v>1994440</v>
      </c>
      <c r="G197" s="18">
        <f>342812+868632+52476</f>
        <v>1263920</v>
      </c>
      <c r="H197" s="18">
        <f>241+970796</f>
        <v>971037</v>
      </c>
      <c r="I197" s="18">
        <f>980+11830</f>
        <v>12810</v>
      </c>
      <c r="J197" s="18">
        <f>449+837</f>
        <v>1286</v>
      </c>
      <c r="K197" s="18">
        <v>286</v>
      </c>
      <c r="L197" s="19">
        <f>SUM(F197:K197)</f>
        <v>4243779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>
        <v>0</v>
      </c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1435</v>
      </c>
      <c r="G199" s="18">
        <v>262</v>
      </c>
      <c r="H199" s="18">
        <v>785</v>
      </c>
      <c r="I199" s="18"/>
      <c r="J199" s="18"/>
      <c r="K199" s="18"/>
      <c r="L199" s="19">
        <f>SUM(F199:K199)</f>
        <v>2482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385680+344240</f>
        <v>729920</v>
      </c>
      <c r="G201" s="18">
        <f>150032+75368</f>
        <v>225400</v>
      </c>
      <c r="H201" s="18">
        <f>1206+3623</f>
        <v>4829</v>
      </c>
      <c r="I201" s="18">
        <f>3323+6866</f>
        <v>10189</v>
      </c>
      <c r="J201" s="18"/>
      <c r="K201" s="18">
        <f>98+3915</f>
        <v>4013</v>
      </c>
      <c r="L201" s="19">
        <f t="shared" ref="L201:L207" si="0">SUM(F201:K201)</f>
        <v>974351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113497+80123</f>
        <v>193620</v>
      </c>
      <c r="G202" s="18">
        <f>24646+23444</f>
        <v>48090</v>
      </c>
      <c r="H202" s="18">
        <v>51786</v>
      </c>
      <c r="I202" s="18">
        <f>1185+12271</f>
        <v>13456</v>
      </c>
      <c r="J202" s="18">
        <f>369</f>
        <v>369</v>
      </c>
      <c r="K202" s="18">
        <v>691</v>
      </c>
      <c r="L202" s="19">
        <f t="shared" si="0"/>
        <v>308012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122387</v>
      </c>
      <c r="G203" s="18">
        <v>29990</v>
      </c>
      <c r="H203" s="18">
        <v>95531</v>
      </c>
      <c r="I203" s="18">
        <v>8650</v>
      </c>
      <c r="J203" s="18">
        <v>443</v>
      </c>
      <c r="K203" s="18">
        <v>8163</v>
      </c>
      <c r="L203" s="19">
        <f t="shared" si="0"/>
        <v>265164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586038</v>
      </c>
      <c r="G204" s="18">
        <v>199842</v>
      </c>
      <c r="H204" s="18">
        <v>36459</v>
      </c>
      <c r="I204" s="18">
        <v>4120</v>
      </c>
      <c r="J204" s="18">
        <v>391</v>
      </c>
      <c r="K204" s="18">
        <v>2597</v>
      </c>
      <c r="L204" s="19">
        <f t="shared" si="0"/>
        <v>829447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136747</v>
      </c>
      <c r="G205" s="18">
        <v>126937</v>
      </c>
      <c r="H205" s="18">
        <v>153615</v>
      </c>
      <c r="I205" s="18"/>
      <c r="J205" s="18">
        <v>9736</v>
      </c>
      <c r="K205" s="18">
        <v>394</v>
      </c>
      <c r="L205" s="19">
        <f t="shared" si="0"/>
        <v>427429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287485+238519</f>
        <v>526004</v>
      </c>
      <c r="G206" s="18">
        <f>155908+51039+52101</f>
        <v>259048</v>
      </c>
      <c r="H206" s="18">
        <f>157744+78499</f>
        <v>236243</v>
      </c>
      <c r="I206" s="18">
        <f>354041+39161</f>
        <v>393202</v>
      </c>
      <c r="J206" s="18">
        <f>6573+12449</f>
        <v>19022</v>
      </c>
      <c r="K206" s="18">
        <v>108</v>
      </c>
      <c r="L206" s="19">
        <f t="shared" si="0"/>
        <v>1433627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37122</v>
      </c>
      <c r="G207" s="18">
        <v>2654</v>
      </c>
      <c r="H207" s="18">
        <v>1025876</v>
      </c>
      <c r="I207" s="18">
        <v>0</v>
      </c>
      <c r="J207" s="18"/>
      <c r="K207" s="18"/>
      <c r="L207" s="19">
        <f t="shared" si="0"/>
        <v>1065652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352791</v>
      </c>
      <c r="G208" s="18">
        <v>48412</v>
      </c>
      <c r="H208" s="18"/>
      <c r="I208" s="18"/>
      <c r="J208" s="18"/>
      <c r="K208" s="18"/>
      <c r="L208" s="19">
        <f>SUM(F208:K208)</f>
        <v>401203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8676160</v>
      </c>
      <c r="G210" s="41">
        <f t="shared" si="1"/>
        <v>4226747</v>
      </c>
      <c r="H210" s="41">
        <f t="shared" si="1"/>
        <v>2760249</v>
      </c>
      <c r="I210" s="41">
        <f t="shared" si="1"/>
        <v>640504</v>
      </c>
      <c r="J210" s="41">
        <f t="shared" si="1"/>
        <v>144780</v>
      </c>
      <c r="K210" s="41">
        <f t="shared" si="1"/>
        <v>22577</v>
      </c>
      <c r="L210" s="41">
        <f t="shared" si="1"/>
        <v>16471017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31102+1217929</f>
        <v>1249031</v>
      </c>
      <c r="G214" s="18">
        <f>345508+243449</f>
        <v>588957</v>
      </c>
      <c r="H214" s="18">
        <f>5180+50376</f>
        <v>55556</v>
      </c>
      <c r="I214" s="18">
        <f>16160+53996</f>
        <v>70156</v>
      </c>
      <c r="J214" s="18">
        <f>8911+29087</f>
        <v>37998</v>
      </c>
      <c r="K214" s="18">
        <f>869+1738</f>
        <v>2607</v>
      </c>
      <c r="L214" s="19">
        <f>SUM(F214:K214)</f>
        <v>2004305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56513+407365</f>
        <v>463878</v>
      </c>
      <c r="G215" s="18">
        <f>82522+241287+14577</f>
        <v>338386</v>
      </c>
      <c r="H215" s="18">
        <f>269665+1133</f>
        <v>270798</v>
      </c>
      <c r="I215" s="18">
        <f>272+2351</f>
        <v>2623</v>
      </c>
      <c r="J215" s="18">
        <v>232</v>
      </c>
      <c r="K215" s="18">
        <v>80</v>
      </c>
      <c r="L215" s="19">
        <f>SUM(F215:K215)</f>
        <v>1075997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47362</v>
      </c>
      <c r="G217" s="18">
        <v>4636</v>
      </c>
      <c r="H217" s="18">
        <v>9490</v>
      </c>
      <c r="I217" s="18">
        <v>10549</v>
      </c>
      <c r="J217" s="18">
        <v>2149</v>
      </c>
      <c r="K217" s="18">
        <v>2756</v>
      </c>
      <c r="L217" s="19">
        <f>SUM(F217:K217)</f>
        <v>76942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108813+95622</f>
        <v>204435</v>
      </c>
      <c r="G219" s="18">
        <f>41676+22123</f>
        <v>63799</v>
      </c>
      <c r="H219" s="18">
        <f>1938+1007</f>
        <v>2945</v>
      </c>
      <c r="I219" s="18">
        <f>923+5831</f>
        <v>6754</v>
      </c>
      <c r="J219" s="18">
        <v>165</v>
      </c>
      <c r="K219" s="18">
        <f>2526+29</f>
        <v>2555</v>
      </c>
      <c r="L219" s="19">
        <f t="shared" ref="L219:L225" si="2">SUM(F219:K219)</f>
        <v>280653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22256+28731</f>
        <v>50987</v>
      </c>
      <c r="G220" s="18">
        <f>5761+6846</f>
        <v>12607</v>
      </c>
      <c r="H220" s="18">
        <f>14385+116</f>
        <v>14501</v>
      </c>
      <c r="I220" s="18">
        <f>9508+329</f>
        <v>9837</v>
      </c>
      <c r="J220" s="18">
        <v>933</v>
      </c>
      <c r="K220" s="18">
        <v>192</v>
      </c>
      <c r="L220" s="19">
        <f t="shared" si="2"/>
        <v>89057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33996</v>
      </c>
      <c r="G221" s="18">
        <v>8331</v>
      </c>
      <c r="H221" s="18">
        <v>26536</v>
      </c>
      <c r="I221" s="18">
        <v>2403</v>
      </c>
      <c r="J221" s="18">
        <v>123</v>
      </c>
      <c r="K221" s="18">
        <v>2268</v>
      </c>
      <c r="L221" s="19">
        <f t="shared" si="2"/>
        <v>73657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142494</v>
      </c>
      <c r="G222" s="18">
        <v>44502</v>
      </c>
      <c r="H222" s="18">
        <v>13774</v>
      </c>
      <c r="I222" s="18">
        <v>555</v>
      </c>
      <c r="J222" s="18">
        <v>315</v>
      </c>
      <c r="K222" s="18">
        <v>2115</v>
      </c>
      <c r="L222" s="19">
        <f t="shared" si="2"/>
        <v>203755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37985</v>
      </c>
      <c r="G223" s="18">
        <v>35260</v>
      </c>
      <c r="H223" s="18">
        <v>42671</v>
      </c>
      <c r="I223" s="18"/>
      <c r="J223" s="18">
        <v>2705</v>
      </c>
      <c r="K223" s="18">
        <v>109</v>
      </c>
      <c r="L223" s="19">
        <f t="shared" si="2"/>
        <v>118730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66255+85071</f>
        <v>151326</v>
      </c>
      <c r="G224" s="18">
        <f>17223+43308+14472</f>
        <v>75003</v>
      </c>
      <c r="H224" s="18">
        <f>21805+43515</f>
        <v>65320</v>
      </c>
      <c r="I224" s="18">
        <f>90074+10878</f>
        <v>100952</v>
      </c>
      <c r="J224" s="18">
        <f>2589+3458</f>
        <v>6047</v>
      </c>
      <c r="K224" s="18">
        <v>30</v>
      </c>
      <c r="L224" s="19">
        <f t="shared" si="2"/>
        <v>398678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10312</v>
      </c>
      <c r="G225" s="18">
        <v>737</v>
      </c>
      <c r="H225" s="18">
        <v>330873</v>
      </c>
      <c r="I225" s="18">
        <v>0</v>
      </c>
      <c r="J225" s="18"/>
      <c r="K225" s="18"/>
      <c r="L225" s="19">
        <f t="shared" si="2"/>
        <v>341922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97997</v>
      </c>
      <c r="G226" s="18">
        <v>13447</v>
      </c>
      <c r="H226" s="18"/>
      <c r="I226" s="18"/>
      <c r="J226" s="18"/>
      <c r="K226" s="18"/>
      <c r="L226" s="19">
        <f>SUM(F226:K226)</f>
        <v>111444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2489803</v>
      </c>
      <c r="G228" s="41">
        <f>SUM(G214:G227)</f>
        <v>1185665</v>
      </c>
      <c r="H228" s="41">
        <f>SUM(H214:H227)</f>
        <v>832464</v>
      </c>
      <c r="I228" s="41">
        <f>SUM(I214:I227)</f>
        <v>203829</v>
      </c>
      <c r="J228" s="41">
        <f>SUM(J214:J227)</f>
        <v>50667</v>
      </c>
      <c r="K228" s="41">
        <f t="shared" si="3"/>
        <v>12712</v>
      </c>
      <c r="L228" s="41">
        <f t="shared" si="3"/>
        <v>4775140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64278+2472766-73</f>
        <v>2536971</v>
      </c>
      <c r="G232" s="18">
        <f>494276+714050</f>
        <v>1208326</v>
      </c>
      <c r="H232" s="18">
        <f>104111+10518</f>
        <v>114629</v>
      </c>
      <c r="I232" s="18">
        <f>109627+33398</f>
        <v>143025</v>
      </c>
      <c r="J232" s="18">
        <f>60112+18092</f>
        <v>78204</v>
      </c>
      <c r="K232" s="18">
        <f>1764+3591</f>
        <v>5355</v>
      </c>
      <c r="L232" s="19">
        <f>SUM(F232:K232)</f>
        <v>4086510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116793+827073</f>
        <v>943866</v>
      </c>
      <c r="G233" s="18">
        <f>167546+498659+30125</f>
        <v>696330</v>
      </c>
      <c r="H233" s="18">
        <f>557309+2301</f>
        <v>559610</v>
      </c>
      <c r="I233" s="18">
        <f>563+4772</f>
        <v>5335</v>
      </c>
      <c r="J233" s="18">
        <v>481</v>
      </c>
      <c r="K233" s="18">
        <v>164</v>
      </c>
      <c r="L233" s="19">
        <f>SUM(F233:K233)</f>
        <v>2205786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56297</v>
      </c>
      <c r="I234" s="18"/>
      <c r="J234" s="18"/>
      <c r="K234" s="18"/>
      <c r="L234" s="19">
        <f>SUM(F234:K234)</f>
        <v>56297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96160</v>
      </c>
      <c r="G235" s="18">
        <v>9412</v>
      </c>
      <c r="H235" s="18">
        <v>19269</v>
      </c>
      <c r="I235" s="18">
        <v>21419</v>
      </c>
      <c r="J235" s="18">
        <v>4362</v>
      </c>
      <c r="K235" s="18">
        <v>5597</v>
      </c>
      <c r="L235" s="19">
        <f>SUM(F235:K235)</f>
        <v>156219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197619+220924</f>
        <v>418543</v>
      </c>
      <c r="G237" s="18">
        <f>44915+86129</f>
        <v>131044</v>
      </c>
      <c r="H237" s="18">
        <f>2081+3934</f>
        <v>6015</v>
      </c>
      <c r="I237" s="18">
        <f>11838+1907</f>
        <v>13745</v>
      </c>
      <c r="J237" s="18">
        <v>334</v>
      </c>
      <c r="K237" s="18">
        <f>5129+57</f>
        <v>5186</v>
      </c>
      <c r="L237" s="19">
        <f t="shared" ref="L237:L243" si="4">SUM(F237:K237)</f>
        <v>574867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45997+58333+63958</f>
        <v>168288</v>
      </c>
      <c r="G238" s="18">
        <f>11696+11110+14149</f>
        <v>36955</v>
      </c>
      <c r="H238" s="18">
        <f>29729+237</f>
        <v>29966</v>
      </c>
      <c r="I238" s="18">
        <f>19305+680</f>
        <v>19985</v>
      </c>
      <c r="J238" s="18">
        <v>1895</v>
      </c>
      <c r="K238" s="18">
        <v>397</v>
      </c>
      <c r="L238" s="19">
        <f t="shared" si="4"/>
        <v>257486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70259</v>
      </c>
      <c r="G239" s="18">
        <v>17216</v>
      </c>
      <c r="H239" s="18">
        <v>54842</v>
      </c>
      <c r="I239" s="18">
        <v>4966</v>
      </c>
      <c r="J239" s="18">
        <v>255</v>
      </c>
      <c r="K239" s="18">
        <v>4686</v>
      </c>
      <c r="L239" s="19">
        <f t="shared" si="4"/>
        <v>152224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289306</v>
      </c>
      <c r="G240" s="18">
        <v>90353</v>
      </c>
      <c r="H240" s="18">
        <v>27965</v>
      </c>
      <c r="I240" s="18">
        <v>1127</v>
      </c>
      <c r="J240" s="18">
        <v>641</v>
      </c>
      <c r="K240" s="18">
        <v>4295</v>
      </c>
      <c r="L240" s="19">
        <f t="shared" si="4"/>
        <v>413687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78503</v>
      </c>
      <c r="G241" s="18">
        <v>72871</v>
      </c>
      <c r="H241" s="18">
        <v>88186</v>
      </c>
      <c r="I241" s="18"/>
      <c r="J241" s="18">
        <v>5589</v>
      </c>
      <c r="K241" s="18">
        <v>226</v>
      </c>
      <c r="L241" s="19">
        <f t="shared" si="4"/>
        <v>245375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136927+172720</f>
        <v>309647</v>
      </c>
      <c r="G242" s="18">
        <f>34968+89503+29910</f>
        <v>154381</v>
      </c>
      <c r="H242" s="18">
        <f>45064+88350</f>
        <v>133414</v>
      </c>
      <c r="I242" s="18">
        <f>182877+22482</f>
        <v>205359</v>
      </c>
      <c r="J242" s="18">
        <f>7147+5256</f>
        <v>12403</v>
      </c>
      <c r="K242" s="18">
        <f>62</f>
        <v>62</v>
      </c>
      <c r="L242" s="19">
        <f t="shared" si="4"/>
        <v>815266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21311</v>
      </c>
      <c r="G243" s="18">
        <v>1524</v>
      </c>
      <c r="H243" s="18">
        <v>713196</v>
      </c>
      <c r="I243" s="18">
        <v>0</v>
      </c>
      <c r="J243" s="18"/>
      <c r="K243" s="18"/>
      <c r="L243" s="19">
        <f t="shared" si="4"/>
        <v>736031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202528</v>
      </c>
      <c r="G244" s="18">
        <v>27792</v>
      </c>
      <c r="H244" s="18"/>
      <c r="I244" s="18"/>
      <c r="J244" s="18"/>
      <c r="K244" s="18"/>
      <c r="L244" s="19">
        <f>SUM(F244:K244)</f>
        <v>230320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5135382</v>
      </c>
      <c r="G246" s="41">
        <f t="shared" si="5"/>
        <v>2446204</v>
      </c>
      <c r="H246" s="41">
        <f t="shared" si="5"/>
        <v>1803389</v>
      </c>
      <c r="I246" s="41">
        <f t="shared" si="5"/>
        <v>414961</v>
      </c>
      <c r="J246" s="41">
        <f t="shared" si="5"/>
        <v>104164</v>
      </c>
      <c r="K246" s="41">
        <f t="shared" si="5"/>
        <v>25968</v>
      </c>
      <c r="L246" s="41">
        <f t="shared" si="5"/>
        <v>9930068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16301345</v>
      </c>
      <c r="G256" s="41">
        <f t="shared" si="8"/>
        <v>7858616</v>
      </c>
      <c r="H256" s="41">
        <f t="shared" si="8"/>
        <v>5396102</v>
      </c>
      <c r="I256" s="41">
        <f t="shared" si="8"/>
        <v>1259294</v>
      </c>
      <c r="J256" s="41">
        <f t="shared" si="8"/>
        <v>299611</v>
      </c>
      <c r="K256" s="41">
        <f t="shared" si="8"/>
        <v>61257</v>
      </c>
      <c r="L256" s="41">
        <f t="shared" si="8"/>
        <v>31176225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1520678</v>
      </c>
      <c r="L264" s="19">
        <f t="shared" si="9"/>
        <v>1520678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150000</v>
      </c>
      <c r="L265" s="19">
        <f t="shared" si="9"/>
        <v>150000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1670678</v>
      </c>
      <c r="L269" s="41">
        <f t="shared" si="9"/>
        <v>1670678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16301345</v>
      </c>
      <c r="G270" s="42">
        <f t="shared" si="11"/>
        <v>7858616</v>
      </c>
      <c r="H270" s="42">
        <f t="shared" si="11"/>
        <v>5396102</v>
      </c>
      <c r="I270" s="42">
        <f t="shared" si="11"/>
        <v>1259294</v>
      </c>
      <c r="J270" s="42">
        <f t="shared" si="11"/>
        <v>299611</v>
      </c>
      <c r="K270" s="42">
        <f t="shared" si="11"/>
        <v>1731935</v>
      </c>
      <c r="L270" s="42">
        <f t="shared" si="11"/>
        <v>32846903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4821+147093+25</f>
        <v>151939</v>
      </c>
      <c r="G275" s="18">
        <f>548+49+53448</f>
        <v>54045</v>
      </c>
      <c r="H275" s="18">
        <v>6122</v>
      </c>
      <c r="I275" s="18">
        <f>550+16415</f>
        <v>16965</v>
      </c>
      <c r="J275" s="18"/>
      <c r="K275" s="18"/>
      <c r="L275" s="19">
        <f>SUM(F275:K275)</f>
        <v>229071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125282</v>
      </c>
      <c r="G276" s="18">
        <v>51511</v>
      </c>
      <c r="H276" s="18">
        <v>4388</v>
      </c>
      <c r="I276" s="18">
        <v>20727</v>
      </c>
      <c r="J276" s="18">
        <v>18256</v>
      </c>
      <c r="K276" s="18"/>
      <c r="L276" s="19">
        <f>SUM(F276:K276)</f>
        <v>220164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9639+113206+20962</f>
        <v>143807</v>
      </c>
      <c r="G278" s="18">
        <f>843+19487+12755</f>
        <v>33085</v>
      </c>
      <c r="H278" s="18">
        <f>6907+7886+3764</f>
        <v>18557</v>
      </c>
      <c r="I278" s="18">
        <f>6284+1821+3926</f>
        <v>12031</v>
      </c>
      <c r="J278" s="18">
        <v>1609</v>
      </c>
      <c r="K278" s="18"/>
      <c r="L278" s="19">
        <f>SUM(F278:K278)</f>
        <v>209089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540</v>
      </c>
      <c r="G280" s="18">
        <v>122</v>
      </c>
      <c r="H280" s="18"/>
      <c r="I280" s="18"/>
      <c r="J280" s="18"/>
      <c r="K280" s="18"/>
      <c r="L280" s="19">
        <f t="shared" ref="L280:L286" si="12">SUM(F280:K280)</f>
        <v>662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8274</v>
      </c>
      <c r="G281" s="18">
        <v>1356</v>
      </c>
      <c r="H281" s="18">
        <v>121207</v>
      </c>
      <c r="I281" s="18">
        <v>3356</v>
      </c>
      <c r="J281" s="18">
        <v>3494</v>
      </c>
      <c r="K281" s="18"/>
      <c r="L281" s="19">
        <f t="shared" si="12"/>
        <v>137687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16600+16988</f>
        <v>33588</v>
      </c>
      <c r="G282" s="18">
        <f>8696+7456</f>
        <v>16152</v>
      </c>
      <c r="H282" s="18">
        <v>9299</v>
      </c>
      <c r="I282" s="18">
        <v>193</v>
      </c>
      <c r="J282" s="18">
        <v>298</v>
      </c>
      <c r="K282" s="18"/>
      <c r="L282" s="19">
        <f t="shared" si="12"/>
        <v>59530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30153</v>
      </c>
      <c r="I285" s="18"/>
      <c r="J285" s="18"/>
      <c r="K285" s="18"/>
      <c r="L285" s="19">
        <f t="shared" si="12"/>
        <v>30153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v>3120</v>
      </c>
      <c r="I287" s="18"/>
      <c r="J287" s="18"/>
      <c r="K287" s="18">
        <v>260</v>
      </c>
      <c r="L287" s="19">
        <f>SUM(F287:K287)</f>
        <v>3380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463430</v>
      </c>
      <c r="G289" s="42">
        <f t="shared" si="13"/>
        <v>156271</v>
      </c>
      <c r="H289" s="42">
        <f t="shared" si="13"/>
        <v>192846</v>
      </c>
      <c r="I289" s="42">
        <f t="shared" si="13"/>
        <v>53272</v>
      </c>
      <c r="J289" s="42">
        <f t="shared" si="13"/>
        <v>23657</v>
      </c>
      <c r="K289" s="42">
        <f t="shared" si="13"/>
        <v>260</v>
      </c>
      <c r="L289" s="41">
        <f t="shared" si="13"/>
        <v>889736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40859</v>
      </c>
      <c r="G294" s="18">
        <v>14847</v>
      </c>
      <c r="H294" s="18">
        <v>1701</v>
      </c>
      <c r="I294" s="18">
        <v>4560</v>
      </c>
      <c r="J294" s="18"/>
      <c r="K294" s="18"/>
      <c r="L294" s="19">
        <f>SUM(F294:K294)</f>
        <v>61967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34800</v>
      </c>
      <c r="G295" s="18">
        <v>14309</v>
      </c>
      <c r="H295" s="18">
        <v>1219</v>
      </c>
      <c r="I295" s="18">
        <v>5758</v>
      </c>
      <c r="J295" s="18">
        <v>5071</v>
      </c>
      <c r="K295" s="18"/>
      <c r="L295" s="19">
        <f>SUM(F295:K295)</f>
        <v>61157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5823</v>
      </c>
      <c r="G297" s="18">
        <v>3543</v>
      </c>
      <c r="H297" s="18">
        <v>1046</v>
      </c>
      <c r="I297" s="18">
        <v>1091</v>
      </c>
      <c r="J297" s="18">
        <v>495</v>
      </c>
      <c r="K297" s="18"/>
      <c r="L297" s="19">
        <f>SUM(F297:K297)</f>
        <v>11998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150</v>
      </c>
      <c r="G299" s="18">
        <v>34</v>
      </c>
      <c r="H299" s="18"/>
      <c r="I299" s="18"/>
      <c r="J299" s="18"/>
      <c r="K299" s="18"/>
      <c r="L299" s="19">
        <f t="shared" ref="L299:L305" si="14">SUM(F299:K299)</f>
        <v>184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2298</v>
      </c>
      <c r="G300" s="18">
        <v>377</v>
      </c>
      <c r="H300" s="18">
        <v>33669</v>
      </c>
      <c r="I300" s="18">
        <v>932</v>
      </c>
      <c r="J300" s="18">
        <v>971</v>
      </c>
      <c r="K300" s="18"/>
      <c r="L300" s="19">
        <f t="shared" si="14"/>
        <v>38247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4719</v>
      </c>
      <c r="G301" s="18">
        <v>2071</v>
      </c>
      <c r="H301" s="18">
        <v>2583</v>
      </c>
      <c r="I301" s="18">
        <v>24</v>
      </c>
      <c r="J301" s="18">
        <v>92</v>
      </c>
      <c r="K301" s="18"/>
      <c r="L301" s="19">
        <f t="shared" si="14"/>
        <v>9489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>
        <v>960</v>
      </c>
      <c r="I306" s="18"/>
      <c r="J306" s="18"/>
      <c r="K306" s="18">
        <v>80</v>
      </c>
      <c r="L306" s="19">
        <f>SUM(F306:K306)</f>
        <v>1040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88649</v>
      </c>
      <c r="G308" s="42">
        <f t="shared" si="15"/>
        <v>35181</v>
      </c>
      <c r="H308" s="42">
        <f t="shared" si="15"/>
        <v>41178</v>
      </c>
      <c r="I308" s="42">
        <f t="shared" si="15"/>
        <v>12365</v>
      </c>
      <c r="J308" s="42">
        <f t="shared" si="15"/>
        <v>6629</v>
      </c>
      <c r="K308" s="42">
        <f t="shared" si="15"/>
        <v>80</v>
      </c>
      <c r="L308" s="41">
        <f t="shared" si="15"/>
        <v>184082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84442</v>
      </c>
      <c r="G313" s="18">
        <v>30683</v>
      </c>
      <c r="H313" s="18">
        <v>3514</v>
      </c>
      <c r="I313" s="18">
        <v>9424</v>
      </c>
      <c r="J313" s="18"/>
      <c r="K313" s="18"/>
      <c r="L313" s="19">
        <f>SUM(F313:K313)</f>
        <v>128063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71921</v>
      </c>
      <c r="G314" s="18">
        <v>29571</v>
      </c>
      <c r="H314" s="18">
        <v>2519</v>
      </c>
      <c r="I314" s="18">
        <v>11899</v>
      </c>
      <c r="J314" s="18">
        <v>10480</v>
      </c>
      <c r="K314" s="18"/>
      <c r="L314" s="19">
        <f>SUM(F314:K314)</f>
        <v>126390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12034</v>
      </c>
      <c r="G316" s="18">
        <v>7323</v>
      </c>
      <c r="H316" s="18">
        <v>2161</v>
      </c>
      <c r="I316" s="18">
        <v>2254</v>
      </c>
      <c r="J316" s="18">
        <v>990</v>
      </c>
      <c r="K316" s="18"/>
      <c r="L316" s="19">
        <f>SUM(F316:K316)</f>
        <v>24762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310</v>
      </c>
      <c r="G318" s="18">
        <v>70</v>
      </c>
      <c r="H318" s="18"/>
      <c r="I318" s="18"/>
      <c r="J318" s="18"/>
      <c r="K318" s="18"/>
      <c r="L318" s="19">
        <f t="shared" ref="L318:L324" si="16">SUM(F318:K318)</f>
        <v>380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4750</v>
      </c>
      <c r="G319" s="18">
        <v>778</v>
      </c>
      <c r="H319" s="18">
        <v>69582</v>
      </c>
      <c r="I319" s="18">
        <v>1927</v>
      </c>
      <c r="J319" s="18">
        <v>2006</v>
      </c>
      <c r="K319" s="18"/>
      <c r="L319" s="19">
        <f t="shared" si="16"/>
        <v>79043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9753</v>
      </c>
      <c r="G320" s="18">
        <v>4280</v>
      </c>
      <c r="H320" s="18">
        <v>5339</v>
      </c>
      <c r="I320" s="18">
        <v>111</v>
      </c>
      <c r="J320" s="18">
        <v>183</v>
      </c>
      <c r="K320" s="18"/>
      <c r="L320" s="19">
        <f t="shared" si="16"/>
        <v>19666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>
        <v>1920</v>
      </c>
      <c r="I325" s="18"/>
      <c r="J325" s="18"/>
      <c r="K325" s="18">
        <v>160</v>
      </c>
      <c r="L325" s="19">
        <f>SUM(F325:K325)</f>
        <v>2080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183210</v>
      </c>
      <c r="G327" s="42">
        <f t="shared" si="17"/>
        <v>72705</v>
      </c>
      <c r="H327" s="42">
        <f t="shared" si="17"/>
        <v>85035</v>
      </c>
      <c r="I327" s="42">
        <f t="shared" si="17"/>
        <v>25615</v>
      </c>
      <c r="J327" s="42">
        <f t="shared" si="17"/>
        <v>13659</v>
      </c>
      <c r="K327" s="42">
        <f t="shared" si="17"/>
        <v>160</v>
      </c>
      <c r="L327" s="41">
        <f t="shared" si="17"/>
        <v>380384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735289</v>
      </c>
      <c r="G337" s="41">
        <f t="shared" si="20"/>
        <v>264157</v>
      </c>
      <c r="H337" s="41">
        <f t="shared" si="20"/>
        <v>319059</v>
      </c>
      <c r="I337" s="41">
        <f t="shared" si="20"/>
        <v>91252</v>
      </c>
      <c r="J337" s="41">
        <f t="shared" si="20"/>
        <v>43945</v>
      </c>
      <c r="K337" s="41">
        <f t="shared" si="20"/>
        <v>500</v>
      </c>
      <c r="L337" s="41">
        <f t="shared" si="20"/>
        <v>1454202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49252</v>
      </c>
      <c r="L343" s="19">
        <f t="shared" ref="L343:L349" si="21">SUM(F343:K343)</f>
        <v>49252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49252</v>
      </c>
      <c r="L350" s="41">
        <f>SUM(L340:L349)</f>
        <v>49252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735289</v>
      </c>
      <c r="G351" s="41">
        <f>G337</f>
        <v>264157</v>
      </c>
      <c r="H351" s="41">
        <f>H337</f>
        <v>319059</v>
      </c>
      <c r="I351" s="41">
        <f>I337</f>
        <v>91252</v>
      </c>
      <c r="J351" s="41">
        <f>J337</f>
        <v>43945</v>
      </c>
      <c r="K351" s="47">
        <f>K337+K350</f>
        <v>49752</v>
      </c>
      <c r="L351" s="41">
        <f>L337+L350</f>
        <v>1503454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188962</v>
      </c>
      <c r="G357" s="18">
        <v>66461</v>
      </c>
      <c r="H357" s="18">
        <v>9306</v>
      </c>
      <c r="I357" s="18">
        <v>252006</v>
      </c>
      <c r="J357" s="18">
        <v>523</v>
      </c>
      <c r="K357" s="18">
        <v>19</v>
      </c>
      <c r="L357" s="13">
        <f>SUM(F357:K357)</f>
        <v>517277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52489</v>
      </c>
      <c r="G358" s="18">
        <v>18461</v>
      </c>
      <c r="H358" s="18">
        <v>2585</v>
      </c>
      <c r="I358" s="18">
        <v>70002</v>
      </c>
      <c r="J358" s="18">
        <v>145</v>
      </c>
      <c r="K358" s="18">
        <v>5</v>
      </c>
      <c r="L358" s="19">
        <f>SUM(F358:K358)</f>
        <v>143687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108478</v>
      </c>
      <c r="G359" s="18">
        <v>38153</v>
      </c>
      <c r="H359" s="18">
        <v>5343</v>
      </c>
      <c r="I359" s="18">
        <v>144669</v>
      </c>
      <c r="J359" s="18">
        <v>301</v>
      </c>
      <c r="K359" s="18">
        <v>11</v>
      </c>
      <c r="L359" s="19">
        <f>SUM(F359:K359)</f>
        <v>296955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349929</v>
      </c>
      <c r="G361" s="47">
        <f t="shared" si="22"/>
        <v>123075</v>
      </c>
      <c r="H361" s="47">
        <f t="shared" si="22"/>
        <v>17234</v>
      </c>
      <c r="I361" s="47">
        <f t="shared" si="22"/>
        <v>466677</v>
      </c>
      <c r="J361" s="47">
        <f t="shared" si="22"/>
        <v>969</v>
      </c>
      <c r="K361" s="47">
        <f t="shared" si="22"/>
        <v>35</v>
      </c>
      <c r="L361" s="47">
        <f t="shared" si="22"/>
        <v>957919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229325</v>
      </c>
      <c r="G366" s="18">
        <v>63702</v>
      </c>
      <c r="H366" s="18">
        <v>131649</v>
      </c>
      <c r="I366" s="56">
        <f>SUM(F366:H366)</f>
        <v>424676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22681</v>
      </c>
      <c r="G367" s="63">
        <v>6300</v>
      </c>
      <c r="H367" s="63">
        <v>13020</v>
      </c>
      <c r="I367" s="56">
        <f>SUM(F367:H367)</f>
        <v>42001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252006</v>
      </c>
      <c r="G368" s="47">
        <f>SUM(G366:G367)</f>
        <v>70002</v>
      </c>
      <c r="H368" s="47">
        <f>SUM(H366:H367)</f>
        <v>144669</v>
      </c>
      <c r="I368" s="47">
        <f>SUM(I366:I367)</f>
        <v>466677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2485006</v>
      </c>
      <c r="I378" s="18"/>
      <c r="J378" s="18"/>
      <c r="K378" s="18"/>
      <c r="L378" s="13">
        <f t="shared" si="23"/>
        <v>2485006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2485006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2485006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266</v>
      </c>
      <c r="I388" s="18"/>
      <c r="J388" s="24" t="s">
        <v>289</v>
      </c>
      <c r="K388" s="24" t="s">
        <v>289</v>
      </c>
      <c r="L388" s="56">
        <f t="shared" si="25"/>
        <v>266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266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266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38</v>
      </c>
      <c r="I394" s="18"/>
      <c r="J394" s="24" t="s">
        <v>289</v>
      </c>
      <c r="K394" s="24" t="s">
        <v>289</v>
      </c>
      <c r="L394" s="56">
        <f t="shared" ref="L394:L399" si="26">SUM(F394:K394)</f>
        <v>38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240</v>
      </c>
      <c r="I395" s="18"/>
      <c r="J395" s="24" t="s">
        <v>289</v>
      </c>
      <c r="K395" s="24" t="s">
        <v>289</v>
      </c>
      <c r="L395" s="56">
        <f t="shared" si="26"/>
        <v>240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1013</v>
      </c>
      <c r="I396" s="18"/>
      <c r="J396" s="24" t="s">
        <v>289</v>
      </c>
      <c r="K396" s="24" t="s">
        <v>289</v>
      </c>
      <c r="L396" s="56">
        <f t="shared" si="26"/>
        <v>1013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150000</v>
      </c>
      <c r="H399" s="18">
        <v>483</v>
      </c>
      <c r="I399" s="18"/>
      <c r="J399" s="24" t="s">
        <v>289</v>
      </c>
      <c r="K399" s="24" t="s">
        <v>289</v>
      </c>
      <c r="L399" s="56">
        <f t="shared" si="26"/>
        <v>150483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150000</v>
      </c>
      <c r="H400" s="47">
        <f>SUM(H394:H399)</f>
        <v>1774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151774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150000</v>
      </c>
      <c r="H407" s="47">
        <f>H392+H400+H406</f>
        <v>2040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152040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397204</v>
      </c>
      <c r="I414" s="18"/>
      <c r="J414" s="18"/>
      <c r="K414" s="18"/>
      <c r="L414" s="56">
        <f t="shared" si="27"/>
        <v>397204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397204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397204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275">
        <v>72422</v>
      </c>
      <c r="L425" s="56">
        <f t="shared" si="29"/>
        <v>72422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72422</v>
      </c>
      <c r="L426" s="47">
        <f t="shared" si="30"/>
        <v>72422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397204</v>
      </c>
      <c r="I433" s="47">
        <f t="shared" si="32"/>
        <v>0</v>
      </c>
      <c r="J433" s="47">
        <f t="shared" si="32"/>
        <v>0</v>
      </c>
      <c r="K433" s="47">
        <f t="shared" si="32"/>
        <v>72422</v>
      </c>
      <c r="L433" s="47">
        <f t="shared" si="32"/>
        <v>469626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4467</v>
      </c>
      <c r="G441" s="18">
        <v>415606</v>
      </c>
      <c r="H441" s="18"/>
      <c r="I441" s="56">
        <f t="shared" si="33"/>
        <v>420073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4467</v>
      </c>
      <c r="G445" s="13">
        <f>SUM(G438:G444)</f>
        <v>415606</v>
      </c>
      <c r="H445" s="13">
        <f>SUM(H438:H444)</f>
        <v>0</v>
      </c>
      <c r="I445" s="13">
        <f>SUM(I438:I444)</f>
        <v>420073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4467</v>
      </c>
      <c r="G455" s="18"/>
      <c r="H455" s="18"/>
      <c r="I455" s="56">
        <f t="shared" si="34"/>
        <v>4467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415606</v>
      </c>
      <c r="H458" s="18"/>
      <c r="I458" s="56">
        <f t="shared" si="34"/>
        <v>415606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4467</v>
      </c>
      <c r="G459" s="83">
        <f>SUM(G453:G458)</f>
        <v>415606</v>
      </c>
      <c r="H459" s="83">
        <f>SUM(H453:H458)</f>
        <v>0</v>
      </c>
      <c r="I459" s="83">
        <f>SUM(I453:I458)</f>
        <v>420073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4467</v>
      </c>
      <c r="G460" s="42">
        <f>G451+G459</f>
        <v>415606</v>
      </c>
      <c r="H460" s="42">
        <f>H451+H459</f>
        <v>0</v>
      </c>
      <c r="I460" s="42">
        <f>I451+I459</f>
        <v>420073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1762577</v>
      </c>
      <c r="G464" s="18">
        <v>120792</v>
      </c>
      <c r="H464" s="18">
        <v>53636</v>
      </c>
      <c r="I464" s="18">
        <v>1085684</v>
      </c>
      <c r="J464" s="18">
        <v>737659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32036591</v>
      </c>
      <c r="G467" s="18">
        <v>987356</v>
      </c>
      <c r="H467" s="18">
        <v>1451547</v>
      </c>
      <c r="I467" s="18">
        <v>1520678</v>
      </c>
      <c r="J467" s="18">
        <v>152040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32036591</v>
      </c>
      <c r="G469" s="53">
        <f>SUM(G467:G468)</f>
        <v>987356</v>
      </c>
      <c r="H469" s="53">
        <f>SUM(H467:H468)</f>
        <v>1451547</v>
      </c>
      <c r="I469" s="53">
        <f>SUM(I467:I468)</f>
        <v>1520678</v>
      </c>
      <c r="J469" s="53">
        <f>SUM(J467:J468)</f>
        <v>152040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32846903</v>
      </c>
      <c r="G471" s="18">
        <v>957919</v>
      </c>
      <c r="H471" s="18">
        <v>1503454</v>
      </c>
      <c r="I471" s="18">
        <v>2485006</v>
      </c>
      <c r="J471" s="18">
        <v>469626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>
        <v>0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32846903</v>
      </c>
      <c r="G473" s="53">
        <f>SUM(G471:G472)</f>
        <v>957919</v>
      </c>
      <c r="H473" s="53">
        <f>SUM(H471:H472)</f>
        <v>1503454</v>
      </c>
      <c r="I473" s="53">
        <f>SUM(I471:I472)</f>
        <v>2485006</v>
      </c>
      <c r="J473" s="53">
        <f>SUM(J471:J472)</f>
        <v>469626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952265</v>
      </c>
      <c r="G475" s="53">
        <f>(G464+G469)- G473</f>
        <v>150229</v>
      </c>
      <c r="H475" s="53">
        <f>(H464+H469)- H473</f>
        <v>1729</v>
      </c>
      <c r="I475" s="53">
        <f>(I464+I469)- I473</f>
        <v>121356</v>
      </c>
      <c r="J475" s="53">
        <f>(J464+J469)- J473</f>
        <v>420073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1695542</v>
      </c>
      <c r="G520" s="18">
        <v>1198298</v>
      </c>
      <c r="H520" s="18">
        <v>966729</v>
      </c>
      <c r="I520" s="18">
        <v>10235</v>
      </c>
      <c r="J520" s="18">
        <v>242</v>
      </c>
      <c r="K520" s="18"/>
      <c r="L520" s="88">
        <f>SUM(F520:K520)</f>
        <v>3871046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470984</v>
      </c>
      <c r="G521" s="18">
        <v>332861</v>
      </c>
      <c r="H521" s="18">
        <v>268536</v>
      </c>
      <c r="I521" s="18">
        <v>2843</v>
      </c>
      <c r="J521" s="18">
        <v>67</v>
      </c>
      <c r="K521" s="18"/>
      <c r="L521" s="88">
        <f>SUM(F521:K521)</f>
        <v>1075291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973367</v>
      </c>
      <c r="G522" s="18">
        <v>687912</v>
      </c>
      <c r="H522" s="18">
        <v>554974</v>
      </c>
      <c r="I522" s="18">
        <v>5876</v>
      </c>
      <c r="J522" s="18">
        <v>140</v>
      </c>
      <c r="K522" s="18"/>
      <c r="L522" s="88">
        <f>SUM(F522:K522)</f>
        <v>2222269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3139893</v>
      </c>
      <c r="G523" s="108">
        <f t="shared" ref="G523:L523" si="36">SUM(G520:G522)</f>
        <v>2219071</v>
      </c>
      <c r="H523" s="108">
        <f t="shared" si="36"/>
        <v>1790239</v>
      </c>
      <c r="I523" s="108">
        <f t="shared" si="36"/>
        <v>18954</v>
      </c>
      <c r="J523" s="108">
        <f t="shared" si="36"/>
        <v>449</v>
      </c>
      <c r="K523" s="108">
        <f t="shared" si="36"/>
        <v>0</v>
      </c>
      <c r="L523" s="89">
        <f t="shared" si="36"/>
        <v>7168606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344240</v>
      </c>
      <c r="G525" s="18">
        <v>150032</v>
      </c>
      <c r="H525" s="18">
        <v>26153</v>
      </c>
      <c r="I525" s="18">
        <v>3738</v>
      </c>
      <c r="J525" s="18"/>
      <c r="K525" s="18"/>
      <c r="L525" s="88">
        <f>SUM(F525:K525)</f>
        <v>524163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95622</v>
      </c>
      <c r="G526" s="18">
        <v>41676</v>
      </c>
      <c r="H526" s="18">
        <v>7265</v>
      </c>
      <c r="I526" s="18">
        <v>1038</v>
      </c>
      <c r="J526" s="18"/>
      <c r="K526" s="18"/>
      <c r="L526" s="88">
        <f>SUM(F526:K526)</f>
        <v>145601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197619</v>
      </c>
      <c r="G527" s="18">
        <v>86129</v>
      </c>
      <c r="H527" s="18">
        <v>15014</v>
      </c>
      <c r="I527" s="18">
        <v>2146</v>
      </c>
      <c r="J527" s="18"/>
      <c r="K527" s="18"/>
      <c r="L527" s="88">
        <f>SUM(F527:K527)</f>
        <v>300908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637481</v>
      </c>
      <c r="G528" s="89">
        <f t="shared" ref="G528:L528" si="37">SUM(G525:G527)</f>
        <v>277837</v>
      </c>
      <c r="H528" s="89">
        <f t="shared" si="37"/>
        <v>48432</v>
      </c>
      <c r="I528" s="89">
        <f t="shared" si="37"/>
        <v>6922</v>
      </c>
      <c r="J528" s="89">
        <f t="shared" si="37"/>
        <v>0</v>
      </c>
      <c r="K528" s="89">
        <f t="shared" si="37"/>
        <v>0</v>
      </c>
      <c r="L528" s="89">
        <f t="shared" si="37"/>
        <v>970672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108895</v>
      </c>
      <c r="G530" s="18">
        <v>34112</v>
      </c>
      <c r="H530" s="18">
        <v>6052</v>
      </c>
      <c r="I530" s="18">
        <v>980</v>
      </c>
      <c r="J530" s="18">
        <v>837</v>
      </c>
      <c r="K530" s="18">
        <v>286</v>
      </c>
      <c r="L530" s="88">
        <f>SUM(F530:K530)</f>
        <v>151162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30249+20009</f>
        <v>50258</v>
      </c>
      <c r="G531" s="18">
        <f>9476+5407</f>
        <v>14883</v>
      </c>
      <c r="H531" s="18">
        <v>1681</v>
      </c>
      <c r="I531" s="18">
        <v>272</v>
      </c>
      <c r="J531" s="18">
        <v>232</v>
      </c>
      <c r="K531" s="18">
        <v>80</v>
      </c>
      <c r="L531" s="88">
        <f>SUM(F531:K531)</f>
        <v>67406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62513+40624</f>
        <v>103137</v>
      </c>
      <c r="G532" s="18">
        <f>19583+10978</f>
        <v>30561</v>
      </c>
      <c r="H532" s="18">
        <v>3474</v>
      </c>
      <c r="I532" s="18">
        <v>563</v>
      </c>
      <c r="J532" s="18">
        <v>481</v>
      </c>
      <c r="K532" s="18">
        <v>164</v>
      </c>
      <c r="L532" s="88">
        <f>SUM(F532:K532)</f>
        <v>138380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262290</v>
      </c>
      <c r="G533" s="89">
        <f t="shared" ref="G533:L533" si="38">SUM(G530:G532)</f>
        <v>79556</v>
      </c>
      <c r="H533" s="89">
        <f t="shared" si="38"/>
        <v>11207</v>
      </c>
      <c r="I533" s="89">
        <f t="shared" si="38"/>
        <v>1815</v>
      </c>
      <c r="J533" s="89">
        <f t="shared" si="38"/>
        <v>1550</v>
      </c>
      <c r="K533" s="89">
        <f t="shared" si="38"/>
        <v>530</v>
      </c>
      <c r="L533" s="89">
        <f t="shared" si="38"/>
        <v>356948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0</v>
      </c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0</v>
      </c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0</v>
      </c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440315</v>
      </c>
      <c r="I540" s="18"/>
      <c r="J540" s="18"/>
      <c r="K540" s="18"/>
      <c r="L540" s="88">
        <f>SUM(F540:K540)</f>
        <v>440315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122310</v>
      </c>
      <c r="I541" s="18"/>
      <c r="J541" s="18"/>
      <c r="K541" s="18"/>
      <c r="L541" s="88">
        <f>SUM(F541:K541)</f>
        <v>122310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252774</v>
      </c>
      <c r="I542" s="18"/>
      <c r="J542" s="18"/>
      <c r="K542" s="18"/>
      <c r="L542" s="88">
        <f>SUM(F542:K542)</f>
        <v>252774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815399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815399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4039664</v>
      </c>
      <c r="G544" s="89">
        <f t="shared" ref="G544:L544" si="41">G523+G528+G533+G538+G543</f>
        <v>2576464</v>
      </c>
      <c r="H544" s="89">
        <f t="shared" si="41"/>
        <v>2665277</v>
      </c>
      <c r="I544" s="89">
        <f t="shared" si="41"/>
        <v>27691</v>
      </c>
      <c r="J544" s="89">
        <f t="shared" si="41"/>
        <v>1999</v>
      </c>
      <c r="K544" s="89">
        <f t="shared" si="41"/>
        <v>530</v>
      </c>
      <c r="L544" s="89">
        <f t="shared" si="41"/>
        <v>9311625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3871046</v>
      </c>
      <c r="G548" s="87">
        <f>L525</f>
        <v>524163</v>
      </c>
      <c r="H548" s="87">
        <f>L530</f>
        <v>151162</v>
      </c>
      <c r="I548" s="87">
        <f>L535</f>
        <v>0</v>
      </c>
      <c r="J548" s="87">
        <f>L540</f>
        <v>440315</v>
      </c>
      <c r="K548" s="87">
        <f>SUM(F548:J548)</f>
        <v>4986686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1075291</v>
      </c>
      <c r="G549" s="87">
        <f>L526</f>
        <v>145601</v>
      </c>
      <c r="H549" s="87">
        <f>L531</f>
        <v>67406</v>
      </c>
      <c r="I549" s="87">
        <f>L536</f>
        <v>0</v>
      </c>
      <c r="J549" s="87">
        <f>L541</f>
        <v>122310</v>
      </c>
      <c r="K549" s="87">
        <f>SUM(F549:J549)</f>
        <v>1410608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2222269</v>
      </c>
      <c r="G550" s="87">
        <f>L527</f>
        <v>300908</v>
      </c>
      <c r="H550" s="87">
        <f>L532</f>
        <v>138380</v>
      </c>
      <c r="I550" s="87">
        <f>L537</f>
        <v>0</v>
      </c>
      <c r="J550" s="87">
        <f>L542</f>
        <v>252774</v>
      </c>
      <c r="K550" s="87">
        <f>SUM(F550:J550)</f>
        <v>2914331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7168606</v>
      </c>
      <c r="G551" s="89">
        <f t="shared" si="42"/>
        <v>970672</v>
      </c>
      <c r="H551" s="89">
        <f t="shared" si="42"/>
        <v>356948</v>
      </c>
      <c r="I551" s="89">
        <f t="shared" si="42"/>
        <v>0</v>
      </c>
      <c r="J551" s="89">
        <f t="shared" si="42"/>
        <v>815399</v>
      </c>
      <c r="K551" s="89">
        <f t="shared" si="42"/>
        <v>9311625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27324</v>
      </c>
      <c r="G561" s="18">
        <v>16254</v>
      </c>
      <c r="H561" s="18"/>
      <c r="I561" s="18"/>
      <c r="J561" s="18"/>
      <c r="K561" s="18"/>
      <c r="L561" s="88">
        <f>SUM(F561:K561)</f>
        <v>43578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7590</v>
      </c>
      <c r="G562" s="18">
        <v>4515</v>
      </c>
      <c r="H562" s="18"/>
      <c r="I562" s="18"/>
      <c r="J562" s="18"/>
      <c r="K562" s="18"/>
      <c r="L562" s="88">
        <f>SUM(F562:K562)</f>
        <v>12105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15686</v>
      </c>
      <c r="G563" s="18">
        <v>9331</v>
      </c>
      <c r="H563" s="18"/>
      <c r="I563" s="18"/>
      <c r="J563" s="18"/>
      <c r="K563" s="18"/>
      <c r="L563" s="88">
        <f>SUM(F563:K563)</f>
        <v>25017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50600</v>
      </c>
      <c r="G564" s="89">
        <f t="shared" si="44"/>
        <v>30100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80700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50600</v>
      </c>
      <c r="G570" s="89">
        <f t="shared" ref="G570:L570" si="46">G559+G564+G569</f>
        <v>30100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80700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14108</v>
      </c>
      <c r="G574" s="18">
        <v>3919</v>
      </c>
      <c r="H574" s="18">
        <f>5427+8099</f>
        <v>13526</v>
      </c>
      <c r="I574" s="87">
        <f>SUM(F574:H574)</f>
        <v>31553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6904</v>
      </c>
      <c r="G578" s="18">
        <v>1918</v>
      </c>
      <c r="H578" s="18">
        <v>3964</v>
      </c>
      <c r="I578" s="87">
        <f t="shared" si="47"/>
        <v>12786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750591</v>
      </c>
      <c r="G581" s="18">
        <v>208497</v>
      </c>
      <c r="H581" s="18">
        <v>430895</v>
      </c>
      <c r="I581" s="87">
        <f t="shared" si="47"/>
        <v>1389983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56297</v>
      </c>
      <c r="I583" s="87">
        <f t="shared" si="47"/>
        <v>56297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623337</v>
      </c>
      <c r="I590" s="18">
        <v>173149</v>
      </c>
      <c r="J590" s="18">
        <v>357841</v>
      </c>
      <c r="K590" s="104">
        <f t="shared" ref="K590:K596" si="48">SUM(H590:J590)</f>
        <v>1154327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440315</v>
      </c>
      <c r="I591" s="18">
        <v>122310</v>
      </c>
      <c r="J591" s="18">
        <v>252774</v>
      </c>
      <c r="K591" s="104">
        <f t="shared" si="48"/>
        <v>815399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31082</v>
      </c>
      <c r="K592" s="104">
        <f t="shared" si="48"/>
        <v>31082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28881</v>
      </c>
      <c r="J593" s="18">
        <v>58637</v>
      </c>
      <c r="K593" s="104">
        <f t="shared" si="48"/>
        <v>87518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2000</v>
      </c>
      <c r="I594" s="18">
        <v>0</v>
      </c>
      <c r="J594" s="18">
        <v>0</v>
      </c>
      <c r="K594" s="104">
        <f t="shared" si="48"/>
        <v>2000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>
        <v>17582</v>
      </c>
      <c r="J595" s="18">
        <v>35697</v>
      </c>
      <c r="K595" s="104">
        <f t="shared" si="48"/>
        <v>53279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1065652</v>
      </c>
      <c r="I597" s="108">
        <f>SUM(I590:I596)</f>
        <v>341922</v>
      </c>
      <c r="J597" s="108">
        <f>SUM(J590:J596)</f>
        <v>736031</v>
      </c>
      <c r="K597" s="108">
        <f>SUM(K590:K596)</f>
        <v>2143605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23657+144780</f>
        <v>168437</v>
      </c>
      <c r="I603" s="18">
        <f>6629+50667</f>
        <v>57296</v>
      </c>
      <c r="J603" s="18">
        <f>13659+104164</f>
        <v>117823</v>
      </c>
      <c r="K603" s="104">
        <f>SUM(H603:J603)</f>
        <v>343556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168437</v>
      </c>
      <c r="I604" s="108">
        <f>SUM(I601:I603)</f>
        <v>57296</v>
      </c>
      <c r="J604" s="108">
        <f>SUM(J601:J603)</f>
        <v>117823</v>
      </c>
      <c r="K604" s="108">
        <f>SUM(K601:K603)</f>
        <v>343556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21355</v>
      </c>
      <c r="G610" s="18">
        <v>729</v>
      </c>
      <c r="H610" s="18"/>
      <c r="I610" s="18"/>
      <c r="J610" s="18"/>
      <c r="K610" s="18"/>
      <c r="L610" s="88">
        <f>SUM(F610:K610)</f>
        <v>22084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5932</v>
      </c>
      <c r="G611" s="18">
        <v>203</v>
      </c>
      <c r="H611" s="18"/>
      <c r="I611" s="18"/>
      <c r="J611" s="18"/>
      <c r="K611" s="18"/>
      <c r="L611" s="88">
        <f>SUM(F611:K611)</f>
        <v>6135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19538</v>
      </c>
      <c r="G612" s="18">
        <v>1799</v>
      </c>
      <c r="H612" s="18"/>
      <c r="I612" s="18"/>
      <c r="J612" s="18"/>
      <c r="K612" s="18"/>
      <c r="L612" s="88">
        <f>SUM(F612:K612)</f>
        <v>21337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46825</v>
      </c>
      <c r="G613" s="108">
        <f t="shared" si="49"/>
        <v>2731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49556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2040072</v>
      </c>
      <c r="H616" s="109">
        <f>SUM(F51)</f>
        <v>2040072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152378</v>
      </c>
      <c r="H617" s="109">
        <f>SUM(G51)</f>
        <v>152378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843671</v>
      </c>
      <c r="H618" s="109">
        <f>SUM(H51)</f>
        <v>843671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121356</v>
      </c>
      <c r="H619" s="109">
        <f>SUM(I51)</f>
        <v>121356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420073</v>
      </c>
      <c r="H620" s="109">
        <f>SUM(J51)</f>
        <v>420073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952265</v>
      </c>
      <c r="H621" s="109">
        <f>F475</f>
        <v>952265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150229</v>
      </c>
      <c r="H622" s="109">
        <f>G475</f>
        <v>150229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1729</v>
      </c>
      <c r="H623" s="109">
        <f>H475</f>
        <v>1729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121356</v>
      </c>
      <c r="H624" s="109">
        <f>I475</f>
        <v>121356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420073</v>
      </c>
      <c r="H625" s="109">
        <f>J475</f>
        <v>420073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32036591</v>
      </c>
      <c r="H626" s="104">
        <f>SUM(F467)</f>
        <v>32036591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987356</v>
      </c>
      <c r="H627" s="104">
        <f>SUM(G467)</f>
        <v>987356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1451547</v>
      </c>
      <c r="H628" s="104">
        <f>SUM(H467)</f>
        <v>1451547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1520678</v>
      </c>
      <c r="H629" s="104">
        <f>SUM(I467)</f>
        <v>1520678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152040</v>
      </c>
      <c r="H630" s="104">
        <f>SUM(J467)</f>
        <v>152040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32846903</v>
      </c>
      <c r="H631" s="104">
        <f>SUM(F471)</f>
        <v>32846903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1503454</v>
      </c>
      <c r="H632" s="104">
        <f>SUM(H471)</f>
        <v>1503454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466677</v>
      </c>
      <c r="H633" s="104">
        <f>I368</f>
        <v>466677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957919</v>
      </c>
      <c r="H634" s="104">
        <f>SUM(G471)</f>
        <v>957919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2485006</v>
      </c>
      <c r="H635" s="104">
        <f>SUM(I471)</f>
        <v>2485006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152040</v>
      </c>
      <c r="H636" s="164">
        <f>SUM(J467)</f>
        <v>152040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469626</v>
      </c>
      <c r="H637" s="164">
        <f>SUM(J471)</f>
        <v>469626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4467</v>
      </c>
      <c r="H638" s="104">
        <f>SUM(F460)</f>
        <v>4467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415606</v>
      </c>
      <c r="H639" s="104">
        <f>SUM(G460)</f>
        <v>415606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420073</v>
      </c>
      <c r="H641" s="104">
        <f>SUM(I460)</f>
        <v>420073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2040</v>
      </c>
      <c r="H643" s="104">
        <f>H407</f>
        <v>2040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150000</v>
      </c>
      <c r="H644" s="104">
        <f>G407</f>
        <v>150000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152040</v>
      </c>
      <c r="H645" s="104">
        <f>L407</f>
        <v>152040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2143605</v>
      </c>
      <c r="H646" s="104">
        <f>L207+L225+L243</f>
        <v>2143605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343556</v>
      </c>
      <c r="H647" s="104">
        <f>(J256+J337)-(J254+J335)</f>
        <v>343556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1065652</v>
      </c>
      <c r="H648" s="104">
        <f>H597</f>
        <v>1065652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341922</v>
      </c>
      <c r="H649" s="104">
        <f>I597</f>
        <v>341922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736031</v>
      </c>
      <c r="H650" s="104">
        <f>J597</f>
        <v>736031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1520678</v>
      </c>
      <c r="H653" s="104">
        <f>K264+K345</f>
        <v>1520678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150000</v>
      </c>
      <c r="H654" s="104">
        <f>K265+K346</f>
        <v>150000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17878030</v>
      </c>
      <c r="G659" s="19">
        <f>(L228+L308+L358)</f>
        <v>5102909</v>
      </c>
      <c r="H659" s="19">
        <f>(L246+L327+L359)</f>
        <v>10607407</v>
      </c>
      <c r="I659" s="19">
        <f>SUM(F659:H659)</f>
        <v>33588346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274098.45211651508</v>
      </c>
      <c r="G660" s="19">
        <f>(L358/IF(SUM(L357:L359)=0,1,SUM(L357:L359))*(SUM(G96:G109)))</f>
        <v>76137.899595894851</v>
      </c>
      <c r="H660" s="19">
        <f>(L359/IF(SUM(L357:L359)=0,1,SUM(L357:L359))*(SUM(G96:G109)))</f>
        <v>157352.64828759007</v>
      </c>
      <c r="I660" s="19">
        <f>SUM(F660:H660)</f>
        <v>507589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1065652</v>
      </c>
      <c r="G661" s="19">
        <f>(L225+L305)-(J225+J305)</f>
        <v>341922</v>
      </c>
      <c r="H661" s="19">
        <f>(L243+L324)-(J243+J324)</f>
        <v>736031</v>
      </c>
      <c r="I661" s="19">
        <f>SUM(F661:H661)</f>
        <v>2143605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962124</v>
      </c>
      <c r="G662" s="199">
        <f>SUM(G574:G586)+SUM(I601:I603)+L611</f>
        <v>277765</v>
      </c>
      <c r="H662" s="199">
        <f>SUM(H574:H586)+SUM(J601:J603)+L612</f>
        <v>643842</v>
      </c>
      <c r="I662" s="19">
        <f>SUM(F662:H662)</f>
        <v>1883731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15576155.547883485</v>
      </c>
      <c r="G663" s="19">
        <f>G659-SUM(G660:G662)</f>
        <v>4407084.1004041051</v>
      </c>
      <c r="H663" s="19">
        <f>H659-SUM(H660:H662)</f>
        <v>9070181.3517124094</v>
      </c>
      <c r="I663" s="19">
        <f>I659-SUM(I660:I662)</f>
        <v>29053421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965.83</v>
      </c>
      <c r="G664" s="248">
        <v>266.83</v>
      </c>
      <c r="H664" s="248">
        <v>550.66999999999996</v>
      </c>
      <c r="I664" s="19">
        <f>SUM(F664:H664)</f>
        <v>1783.33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16127.22</v>
      </c>
      <c r="G666" s="19">
        <f>ROUND(G663/G664,2)</f>
        <v>16516.45</v>
      </c>
      <c r="H666" s="19">
        <f>ROUND(H663/H664,2)</f>
        <v>16471.169999999998</v>
      </c>
      <c r="I666" s="19">
        <f>ROUND(I663/I664,2)</f>
        <v>16291.67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-16.66</v>
      </c>
      <c r="I669" s="19">
        <f>SUM(F669:H669)</f>
        <v>-16.66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16127.22</v>
      </c>
      <c r="G671" s="19">
        <f>ROUND((G663+G668)/(G664+G669),2)</f>
        <v>16516.45</v>
      </c>
      <c r="H671" s="19">
        <f>ROUND((H663+H668)/(H664+H669),2)</f>
        <v>16985.04</v>
      </c>
      <c r="I671" s="19">
        <f>ROUND((I663+I668)/(I664+I669),2)</f>
        <v>16445.3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Monadnock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8058898</v>
      </c>
      <c r="C9" s="229">
        <f>'DOE25'!G196+'DOE25'!G214+'DOE25'!G232+'DOE25'!G275+'DOE25'!G294+'DOE25'!G313</f>
        <v>3919050</v>
      </c>
    </row>
    <row r="10" spans="1:3" x14ac:dyDescent="0.2">
      <c r="A10" t="s">
        <v>779</v>
      </c>
      <c r="B10" s="240">
        <v>7867898</v>
      </c>
      <c r="C10" s="240">
        <v>3801208</v>
      </c>
    </row>
    <row r="11" spans="1:3" x14ac:dyDescent="0.2">
      <c r="A11" t="s">
        <v>780</v>
      </c>
      <c r="B11" s="240">
        <v>65000</v>
      </c>
      <c r="C11" s="240">
        <v>39461</v>
      </c>
    </row>
    <row r="12" spans="1:3" x14ac:dyDescent="0.2">
      <c r="A12" t="s">
        <v>781</v>
      </c>
      <c r="B12" s="240">
        <v>126000</v>
      </c>
      <c r="C12" s="240">
        <v>78381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8058898</v>
      </c>
      <c r="C13" s="231">
        <f>SUM(C10:C12)</f>
        <v>3919050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3634187</v>
      </c>
      <c r="C18" s="229">
        <f>'DOE25'!G197+'DOE25'!G215+'DOE25'!G233+'DOE25'!G276+'DOE25'!G295+'DOE25'!G314</f>
        <v>2394027</v>
      </c>
    </row>
    <row r="19" spans="1:3" x14ac:dyDescent="0.2">
      <c r="A19" t="s">
        <v>779</v>
      </c>
      <c r="B19" s="240">
        <v>1858880</v>
      </c>
      <c r="C19" s="240">
        <v>809535</v>
      </c>
    </row>
    <row r="20" spans="1:3" x14ac:dyDescent="0.2">
      <c r="A20" t="s">
        <v>780</v>
      </c>
      <c r="B20" s="240">
        <v>1705380</v>
      </c>
      <c r="C20" s="240">
        <v>1525054</v>
      </c>
    </row>
    <row r="21" spans="1:3" x14ac:dyDescent="0.2">
      <c r="A21" t="s">
        <v>781</v>
      </c>
      <c r="B21" s="240">
        <v>69927</v>
      </c>
      <c r="C21" s="240">
        <v>59438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3634187</v>
      </c>
      <c r="C22" s="231">
        <f>SUM(C19:C21)</f>
        <v>2394027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0</v>
      </c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306621</v>
      </c>
      <c r="C36" s="235">
        <f>'DOE25'!G199+'DOE25'!G217+'DOE25'!G235+'DOE25'!G278+'DOE25'!G297+'DOE25'!G316</f>
        <v>58261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306621</v>
      </c>
      <c r="C39" s="240">
        <v>58261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306621</v>
      </c>
      <c r="C40" s="231">
        <f>SUM(C37:C39)</f>
        <v>58261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Monadnock Regional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20428188</v>
      </c>
      <c r="D5" s="20">
        <f>SUM('DOE25'!L196:L199)+SUM('DOE25'!L214:L217)+SUM('DOE25'!L232:L235)-F5-G5</f>
        <v>20166773</v>
      </c>
      <c r="E5" s="243"/>
      <c r="F5" s="255">
        <f>SUM('DOE25'!J196:J199)+SUM('DOE25'!J214:J217)+SUM('DOE25'!J232:J235)</f>
        <v>238245</v>
      </c>
      <c r="G5" s="53">
        <f>SUM('DOE25'!K196:K199)+SUM('DOE25'!K214:K217)+SUM('DOE25'!K232:K235)</f>
        <v>23170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1829871</v>
      </c>
      <c r="D6" s="20">
        <f>'DOE25'!L201+'DOE25'!L219+'DOE25'!L237-F6-G6</f>
        <v>1817618</v>
      </c>
      <c r="E6" s="243"/>
      <c r="F6" s="255">
        <f>'DOE25'!J201+'DOE25'!J219+'DOE25'!J237</f>
        <v>499</v>
      </c>
      <c r="G6" s="53">
        <f>'DOE25'!K201+'DOE25'!K219+'DOE25'!K237</f>
        <v>11754</v>
      </c>
      <c r="H6" s="259"/>
    </row>
    <row r="7" spans="1:9" x14ac:dyDescent="0.2">
      <c r="A7" s="32">
        <v>2200</v>
      </c>
      <c r="B7" t="s">
        <v>834</v>
      </c>
      <c r="C7" s="245">
        <f t="shared" si="0"/>
        <v>654555</v>
      </c>
      <c r="D7" s="20">
        <f>'DOE25'!L202+'DOE25'!L220+'DOE25'!L238-F7-G7</f>
        <v>650078</v>
      </c>
      <c r="E7" s="243"/>
      <c r="F7" s="255">
        <f>'DOE25'!J202+'DOE25'!J220+'DOE25'!J238</f>
        <v>3197</v>
      </c>
      <c r="G7" s="53">
        <f>'DOE25'!K202+'DOE25'!K220+'DOE25'!K238</f>
        <v>1280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215318</v>
      </c>
      <c r="D8" s="243"/>
      <c r="E8" s="20">
        <f>'DOE25'!L203+'DOE25'!L221+'DOE25'!L239-F8-G8-D9-D11</f>
        <v>199380</v>
      </c>
      <c r="F8" s="255">
        <f>'DOE25'!J203+'DOE25'!J221+'DOE25'!J239</f>
        <v>821</v>
      </c>
      <c r="G8" s="53">
        <f>'DOE25'!K203+'DOE25'!K221+'DOE25'!K239</f>
        <v>15117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28487</v>
      </c>
      <c r="D9" s="244">
        <v>28487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20219</v>
      </c>
      <c r="D10" s="243"/>
      <c r="E10" s="244">
        <v>20219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247240</v>
      </c>
      <c r="D11" s="244">
        <v>247240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1446889</v>
      </c>
      <c r="D12" s="20">
        <f>'DOE25'!L204+'DOE25'!L222+'DOE25'!L240-F12-G12</f>
        <v>1436535</v>
      </c>
      <c r="E12" s="243"/>
      <c r="F12" s="255">
        <f>'DOE25'!J204+'DOE25'!J222+'DOE25'!J240</f>
        <v>1347</v>
      </c>
      <c r="G12" s="53">
        <f>'DOE25'!K204+'DOE25'!K222+'DOE25'!K240</f>
        <v>9007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791534</v>
      </c>
      <c r="D13" s="243"/>
      <c r="E13" s="20">
        <f>'DOE25'!L205+'DOE25'!L223+'DOE25'!L241-F13-G13</f>
        <v>772775</v>
      </c>
      <c r="F13" s="255">
        <f>'DOE25'!J205+'DOE25'!J223+'DOE25'!J241</f>
        <v>18030</v>
      </c>
      <c r="G13" s="53">
        <f>'DOE25'!K205+'DOE25'!K223+'DOE25'!K241</f>
        <v>729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2647571</v>
      </c>
      <c r="D14" s="20">
        <f>'DOE25'!L206+'DOE25'!L224+'DOE25'!L242-F14-G14</f>
        <v>2609899</v>
      </c>
      <c r="E14" s="243"/>
      <c r="F14" s="255">
        <f>'DOE25'!J206+'DOE25'!J224+'DOE25'!J242</f>
        <v>37472</v>
      </c>
      <c r="G14" s="53">
        <f>'DOE25'!K206+'DOE25'!K224+'DOE25'!K242</f>
        <v>200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2143605</v>
      </c>
      <c r="D15" s="20">
        <f>'DOE25'!L207+'DOE25'!L225+'DOE25'!L243-F15-G15</f>
        <v>2143605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742967</v>
      </c>
      <c r="D16" s="243"/>
      <c r="E16" s="20">
        <f>'DOE25'!L208+'DOE25'!L226+'DOE25'!L244-F16-G16</f>
        <v>742967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533243</v>
      </c>
      <c r="D29" s="20">
        <f>'DOE25'!L357+'DOE25'!L358+'DOE25'!L359-'DOE25'!I366-F29-G29</f>
        <v>532239</v>
      </c>
      <c r="E29" s="243"/>
      <c r="F29" s="255">
        <f>'DOE25'!J357+'DOE25'!J358+'DOE25'!J359</f>
        <v>969</v>
      </c>
      <c r="G29" s="53">
        <f>'DOE25'!K357+'DOE25'!K358+'DOE25'!K359</f>
        <v>35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1454202</v>
      </c>
      <c r="D31" s="20">
        <f>'DOE25'!L289+'DOE25'!L308+'DOE25'!L327+'DOE25'!L332+'DOE25'!L333+'DOE25'!L334-F31-G31</f>
        <v>1409757</v>
      </c>
      <c r="E31" s="243"/>
      <c r="F31" s="255">
        <f>'DOE25'!J289+'DOE25'!J308+'DOE25'!J327+'DOE25'!J332+'DOE25'!J333+'DOE25'!J334</f>
        <v>43945</v>
      </c>
      <c r="G31" s="53">
        <f>'DOE25'!K289+'DOE25'!K308+'DOE25'!K327+'DOE25'!K332+'DOE25'!K333+'DOE25'!K334</f>
        <v>500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31042231</v>
      </c>
      <c r="E33" s="246">
        <f>SUM(E5:E31)</f>
        <v>1735341</v>
      </c>
      <c r="F33" s="246">
        <f>SUM(F5:F31)</f>
        <v>344525</v>
      </c>
      <c r="G33" s="246">
        <f>SUM(G5:G31)</f>
        <v>61792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1735341</v>
      </c>
      <c r="E35" s="249"/>
    </row>
    <row r="36" spans="2:8" ht="12" thickTop="1" x14ac:dyDescent="0.2">
      <c r="B36" t="s">
        <v>815</v>
      </c>
      <c r="D36" s="20">
        <f>D33</f>
        <v>31042231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Monadnock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868950</v>
      </c>
      <c r="D8" s="95">
        <f>'DOE25'!G9</f>
        <v>595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685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261690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683637</v>
      </c>
      <c r="D11" s="95">
        <f>'DOE25'!G12</f>
        <v>36036</v>
      </c>
      <c r="E11" s="95">
        <f>'DOE25'!H12</f>
        <v>0</v>
      </c>
      <c r="F11" s="95">
        <f>'DOE25'!I12</f>
        <v>121356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48112</v>
      </c>
      <c r="E12" s="95">
        <f>'DOE25'!H13</f>
        <v>812878</v>
      </c>
      <c r="F12" s="95">
        <f>'DOE25'!I13</f>
        <v>0</v>
      </c>
      <c r="G12" s="95">
        <f>'DOE25'!J13</f>
        <v>420073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225110</v>
      </c>
      <c r="D13" s="95">
        <f>'DOE25'!G14</f>
        <v>64218</v>
      </c>
      <c r="E13" s="95">
        <f>'DOE25'!H14</f>
        <v>30793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3417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2040072</v>
      </c>
      <c r="D18" s="41">
        <f>SUM(D8:D17)</f>
        <v>152378</v>
      </c>
      <c r="E18" s="41">
        <f>SUM(E8:E17)</f>
        <v>843671</v>
      </c>
      <c r="F18" s="41">
        <f>SUM(F8:F17)</f>
        <v>121356</v>
      </c>
      <c r="G18" s="41">
        <f>SUM(G8:G17)</f>
        <v>420073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90</v>
      </c>
      <c r="E21" s="95">
        <f>'DOE25'!H22</f>
        <v>28577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36036</v>
      </c>
      <c r="D22" s="95">
        <f>'DOE25'!G23</f>
        <v>0</v>
      </c>
      <c r="E22" s="95">
        <f>'DOE25'!H23</f>
        <v>789862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649167</v>
      </c>
      <c r="D23" s="95">
        <f>'DOE25'!G24</f>
        <v>2059</v>
      </c>
      <c r="E23" s="95">
        <f>'DOE25'!H24</f>
        <v>23503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402604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1087807</v>
      </c>
      <c r="D31" s="41">
        <f>SUM(D21:D30)</f>
        <v>2149</v>
      </c>
      <c r="E31" s="41">
        <f>SUM(E21:E30)</f>
        <v>841942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150229</v>
      </c>
      <c r="E42" s="95">
        <f>'DOE25'!H43</f>
        <v>1729</v>
      </c>
      <c r="F42" s="95">
        <f>'DOE25'!I43</f>
        <v>0</v>
      </c>
      <c r="G42" s="95">
        <f>'DOE25'!J43</f>
        <v>4467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121356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415606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952265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952265</v>
      </c>
      <c r="D49" s="41">
        <f>SUM(D34:D48)</f>
        <v>150229</v>
      </c>
      <c r="E49" s="41">
        <f>SUM(E34:E48)</f>
        <v>1729</v>
      </c>
      <c r="F49" s="41">
        <f>SUM(F34:F48)</f>
        <v>121356</v>
      </c>
      <c r="G49" s="41">
        <f>SUM(G34:G48)</f>
        <v>420073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2040072</v>
      </c>
      <c r="D50" s="41">
        <f>D49+D31</f>
        <v>152378</v>
      </c>
      <c r="E50" s="41">
        <f>E49+E31</f>
        <v>843671</v>
      </c>
      <c r="F50" s="41">
        <f>F49+F31</f>
        <v>121356</v>
      </c>
      <c r="G50" s="41">
        <f>G49+G31</f>
        <v>420073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16714707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166684</v>
      </c>
      <c r="D56" s="24" t="s">
        <v>289</v>
      </c>
      <c r="E56" s="95">
        <f>'DOE25'!H78</f>
        <v>96620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18000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2040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507589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103551</v>
      </c>
      <c r="D60" s="95">
        <f>SUM('DOE25'!G97:G109)</f>
        <v>0</v>
      </c>
      <c r="E60" s="95">
        <f>SUM('DOE25'!H97:H109)</f>
        <v>4558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288235</v>
      </c>
      <c r="D61" s="130">
        <f>SUM(D56:D60)</f>
        <v>507589</v>
      </c>
      <c r="E61" s="130">
        <f>SUM(E56:E60)</f>
        <v>101178</v>
      </c>
      <c r="F61" s="130">
        <f>SUM(F56:F60)</f>
        <v>0</v>
      </c>
      <c r="G61" s="130">
        <f>SUM(G56:G60)</f>
        <v>2040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17002942</v>
      </c>
      <c r="D62" s="22">
        <f>D55+D61</f>
        <v>507589</v>
      </c>
      <c r="E62" s="22">
        <f>E55+E61</f>
        <v>101178</v>
      </c>
      <c r="F62" s="22">
        <f>F55+F61</f>
        <v>0</v>
      </c>
      <c r="G62" s="22">
        <f>G55+G61</f>
        <v>2040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10820610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2817879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44204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13682693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630701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333812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5894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970407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14653100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883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331297</v>
      </c>
      <c r="D87" s="95">
        <f>SUM('DOE25'!G152:G160)</f>
        <v>479767</v>
      </c>
      <c r="E87" s="95">
        <f>SUM('DOE25'!H152:H160)</f>
        <v>1275964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1100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331297</v>
      </c>
      <c r="D90" s="131">
        <f>SUM(D84:D89)</f>
        <v>479767</v>
      </c>
      <c r="E90" s="131">
        <f>SUM(E84:E89)</f>
        <v>1277947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1520678</v>
      </c>
      <c r="G95" s="95">
        <f>'DOE25'!J178</f>
        <v>150000</v>
      </c>
    </row>
    <row r="96" spans="1:9" x14ac:dyDescent="0.2">
      <c r="A96" t="s">
        <v>758</v>
      </c>
      <c r="B96" s="32" t="s">
        <v>188</v>
      </c>
      <c r="C96" s="95">
        <f>SUM('DOE25'!F179:F180)</f>
        <v>49252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72422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49252</v>
      </c>
      <c r="D102" s="86">
        <f>SUM(D92:D101)</f>
        <v>0</v>
      </c>
      <c r="E102" s="86">
        <f>SUM(E92:E101)</f>
        <v>72422</v>
      </c>
      <c r="F102" s="86">
        <f>SUM(F92:F101)</f>
        <v>1520678</v>
      </c>
      <c r="G102" s="86">
        <f>SUM(G92:G101)</f>
        <v>150000</v>
      </c>
    </row>
    <row r="103" spans="1:7" ht="12.75" thickTop="1" thickBot="1" x14ac:dyDescent="0.25">
      <c r="A103" s="33" t="s">
        <v>765</v>
      </c>
      <c r="C103" s="86">
        <f>C62+C80+C90+C102</f>
        <v>32036591</v>
      </c>
      <c r="D103" s="86">
        <f>D62+D80+D90+D102</f>
        <v>987356</v>
      </c>
      <c r="E103" s="86">
        <f>E62+E80+E90+E102</f>
        <v>1451547</v>
      </c>
      <c r="F103" s="86">
        <f>F62+F80+F90+F102</f>
        <v>1520678</v>
      </c>
      <c r="G103" s="86">
        <f>G62+G80+G102</f>
        <v>152040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12610686</v>
      </c>
      <c r="D108" s="24" t="s">
        <v>289</v>
      </c>
      <c r="E108" s="95">
        <f>('DOE25'!L275)+('DOE25'!L294)+('DOE25'!L313)</f>
        <v>419101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7525562</v>
      </c>
      <c r="D109" s="24" t="s">
        <v>289</v>
      </c>
      <c r="E109" s="95">
        <f>('DOE25'!L276)+('DOE25'!L295)+('DOE25'!L314)</f>
        <v>407711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56297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235643</v>
      </c>
      <c r="D111" s="24" t="s">
        <v>289</v>
      </c>
      <c r="E111" s="95">
        <f>+('DOE25'!L278)+('DOE25'!L297)+('DOE25'!L316)</f>
        <v>245849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20428188</v>
      </c>
      <c r="D114" s="86">
        <f>SUM(D108:D113)</f>
        <v>0</v>
      </c>
      <c r="E114" s="86">
        <f>SUM(E108:E113)</f>
        <v>1072661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1829871</v>
      </c>
      <c r="D117" s="24" t="s">
        <v>289</v>
      </c>
      <c r="E117" s="95">
        <f>+('DOE25'!L280)+('DOE25'!L299)+('DOE25'!L318)</f>
        <v>1226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654555</v>
      </c>
      <c r="D118" s="24" t="s">
        <v>289</v>
      </c>
      <c r="E118" s="95">
        <f>+('DOE25'!L281)+('DOE25'!L300)+('DOE25'!L319)</f>
        <v>254977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491045</v>
      </c>
      <c r="D119" s="24" t="s">
        <v>289</v>
      </c>
      <c r="E119" s="95">
        <f>+('DOE25'!L282)+('DOE25'!L301)+('DOE25'!L320)</f>
        <v>88685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1446889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791534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2647571</v>
      </c>
      <c r="D122" s="24" t="s">
        <v>289</v>
      </c>
      <c r="E122" s="95">
        <f>+('DOE25'!L285)+('DOE25'!L304)+('DOE25'!L323)</f>
        <v>30153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2143605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742967</v>
      </c>
      <c r="D124" s="24" t="s">
        <v>289</v>
      </c>
      <c r="E124" s="95">
        <f>+('DOE25'!L287)+('DOE25'!L306)+('DOE25'!L325)</f>
        <v>6500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957919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10748037</v>
      </c>
      <c r="D127" s="86">
        <f>SUM(D117:D126)</f>
        <v>957919</v>
      </c>
      <c r="E127" s="86">
        <f>SUM(E117:E126)</f>
        <v>381541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2485006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49252</v>
      </c>
      <c r="F133" s="95">
        <f>'DOE25'!K380</f>
        <v>0</v>
      </c>
      <c r="G133" s="95">
        <f>'DOE25'!K433</f>
        <v>72422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1520678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266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151774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-2040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1670678</v>
      </c>
      <c r="D143" s="141">
        <f>SUM(D129:D142)</f>
        <v>0</v>
      </c>
      <c r="E143" s="141">
        <f>SUM(E129:E142)</f>
        <v>49252</v>
      </c>
      <c r="F143" s="141">
        <f>SUM(F129:F142)</f>
        <v>2485006</v>
      </c>
      <c r="G143" s="141">
        <f>SUM(G129:G142)</f>
        <v>72422</v>
      </c>
    </row>
    <row r="144" spans="1:7" ht="12.75" thickTop="1" thickBot="1" x14ac:dyDescent="0.25">
      <c r="A144" s="33" t="s">
        <v>244</v>
      </c>
      <c r="C144" s="86">
        <f>(C114+C127+C143)</f>
        <v>32846903</v>
      </c>
      <c r="D144" s="86">
        <f>(D114+D127+D143)</f>
        <v>957919</v>
      </c>
      <c r="E144" s="86">
        <f>(E114+E127+E143)</f>
        <v>1503454</v>
      </c>
      <c r="F144" s="86">
        <f>(F114+F127+F143)</f>
        <v>2485006</v>
      </c>
      <c r="G144" s="86">
        <f>(G114+G127+G143)</f>
        <v>72422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Monadnock Regional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16127</v>
      </c>
    </row>
    <row r="5" spans="1:4" x14ac:dyDescent="0.2">
      <c r="B5" t="s">
        <v>704</v>
      </c>
      <c r="C5" s="179">
        <f>IF('DOE25'!G664+'DOE25'!G669=0,0,ROUND('DOE25'!G671,0))</f>
        <v>16516</v>
      </c>
    </row>
    <row r="6" spans="1:4" x14ac:dyDescent="0.2">
      <c r="B6" t="s">
        <v>62</v>
      </c>
      <c r="C6" s="179">
        <f>IF('DOE25'!H664+'DOE25'!H669=0,0,ROUND('DOE25'!H671,0))</f>
        <v>16985</v>
      </c>
    </row>
    <row r="7" spans="1:4" x14ac:dyDescent="0.2">
      <c r="B7" t="s">
        <v>705</v>
      </c>
      <c r="C7" s="179">
        <f>IF('DOE25'!I664+'DOE25'!I669=0,0,ROUND('DOE25'!I671,0))</f>
        <v>16445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13029787</v>
      </c>
      <c r="D10" s="182">
        <f>ROUND((C10/$C$28)*100,1)</f>
        <v>39.4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7933273</v>
      </c>
      <c r="D11" s="182">
        <f>ROUND((C11/$C$28)*100,1)</f>
        <v>24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56297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481492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1831097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909532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1329197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1446889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791534</v>
      </c>
      <c r="D19" s="182">
        <f t="shared" si="0"/>
        <v>2.4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2677724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2143605</v>
      </c>
      <c r="D21" s="182">
        <f t="shared" si="0"/>
        <v>6.5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450330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33080757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2485006</v>
      </c>
    </row>
    <row r="30" spans="1:4" x14ac:dyDescent="0.2">
      <c r="B30" s="187" t="s">
        <v>729</v>
      </c>
      <c r="C30" s="180">
        <f>SUM(C28:C29)</f>
        <v>35565763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16714707</v>
      </c>
      <c r="D35" s="182">
        <f t="shared" ref="D35:D40" si="1">ROUND((C35/$C$41)*100,1)</f>
        <v>49.4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391453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13638489</v>
      </c>
      <c r="D37" s="182">
        <f t="shared" si="1"/>
        <v>40.299999999999997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1014611</v>
      </c>
      <c r="D38" s="182">
        <f t="shared" si="1"/>
        <v>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2089011</v>
      </c>
      <c r="D39" s="182">
        <f t="shared" si="1"/>
        <v>6.2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33848271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Monadnock Regional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2013-11-05T15:06:08Z</cp:lastPrinted>
  <dcterms:created xsi:type="dcterms:W3CDTF">1997-12-04T19:04:30Z</dcterms:created>
  <dcterms:modified xsi:type="dcterms:W3CDTF">2013-12-05T18:51:07Z</dcterms:modified>
</cp:coreProperties>
</file>