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B0A" lockStructure="1"/>
  <bookViews>
    <workbookView xWindow="900" yWindow="-90" windowWidth="12735" windowHeight="6600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1" i="1" l="1"/>
  <c r="F467" i="1"/>
  <c r="F464" i="1" l="1"/>
  <c r="F29" i="1" l="1"/>
  <c r="H203" i="1" l="1"/>
  <c r="B19" i="12"/>
  <c r="B20" i="12"/>
  <c r="B10" i="12"/>
  <c r="F9" i="1"/>
  <c r="F367" i="1"/>
  <c r="F366" i="1"/>
  <c r="H197" i="1"/>
  <c r="H207" i="1"/>
  <c r="J590" i="1"/>
  <c r="H590" i="1"/>
  <c r="K590" i="1" s="1"/>
  <c r="H579" i="1"/>
  <c r="H575" i="1"/>
  <c r="H520" i="1"/>
  <c r="H522" i="1"/>
  <c r="L522" i="1" s="1"/>
  <c r="F550" i="1" s="1"/>
  <c r="H357" i="1"/>
  <c r="H275" i="1"/>
  <c r="H243" i="1"/>
  <c r="H206" i="1"/>
  <c r="L206" i="1" s="1"/>
  <c r="G203" i="1"/>
  <c r="F203" i="1"/>
  <c r="F204" i="1"/>
  <c r="H201" i="1"/>
  <c r="H196" i="1"/>
  <c r="H154" i="1"/>
  <c r="G96" i="1"/>
  <c r="C37" i="10"/>
  <c r="F40" i="2"/>
  <c r="D39" i="2"/>
  <c r="G654" i="1"/>
  <c r="J654" i="1" s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49" i="2" s="1"/>
  <c r="E36" i="2"/>
  <c r="D36" i="2"/>
  <c r="C36" i="2"/>
  <c r="I454" i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E16" i="13" s="1"/>
  <c r="L208" i="1"/>
  <c r="L226" i="1"/>
  <c r="L244" i="1"/>
  <c r="F5" i="13"/>
  <c r="G5" i="13"/>
  <c r="L196" i="1"/>
  <c r="L197" i="1"/>
  <c r="L198" i="1"/>
  <c r="L199" i="1"/>
  <c r="L214" i="1"/>
  <c r="L215" i="1"/>
  <c r="L216" i="1"/>
  <c r="L228" i="1" s="1"/>
  <c r="G659" i="1" s="1"/>
  <c r="L217" i="1"/>
  <c r="L232" i="1"/>
  <c r="L233" i="1"/>
  <c r="L234" i="1"/>
  <c r="L235" i="1"/>
  <c r="F6" i="13"/>
  <c r="G6" i="13"/>
  <c r="L201" i="1"/>
  <c r="L219" i="1"/>
  <c r="L237" i="1"/>
  <c r="F7" i="13"/>
  <c r="G7" i="13"/>
  <c r="D7" i="13" s="1"/>
  <c r="L202" i="1"/>
  <c r="L220" i="1"/>
  <c r="L238" i="1"/>
  <c r="F12" i="13"/>
  <c r="G12" i="13"/>
  <c r="L204" i="1"/>
  <c r="L222" i="1"/>
  <c r="L240" i="1"/>
  <c r="F14" i="13"/>
  <c r="G14" i="13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D126" i="2" s="1"/>
  <c r="J289" i="1"/>
  <c r="J308" i="1"/>
  <c r="J327" i="1"/>
  <c r="J337" i="1" s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E113" i="2" s="1"/>
  <c r="L333" i="1"/>
  <c r="L334" i="1"/>
  <c r="L259" i="1"/>
  <c r="L260" i="1"/>
  <c r="C131" i="2" s="1"/>
  <c r="L340" i="1"/>
  <c r="L341" i="1"/>
  <c r="L254" i="1"/>
  <c r="L335" i="1"/>
  <c r="C11" i="13"/>
  <c r="C10" i="13"/>
  <c r="C9" i="13"/>
  <c r="L360" i="1"/>
  <c r="B4" i="12"/>
  <c r="B36" i="12"/>
  <c r="C36" i="12"/>
  <c r="A40" i="12" s="1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L610" i="1"/>
  <c r="F662" i="1" s="1"/>
  <c r="C40" i="10"/>
  <c r="F59" i="1"/>
  <c r="C55" i="2" s="1"/>
  <c r="G59" i="1"/>
  <c r="H59" i="1"/>
  <c r="I59" i="1"/>
  <c r="F78" i="1"/>
  <c r="F93" i="1"/>
  <c r="F110" i="1"/>
  <c r="H78" i="1"/>
  <c r="H93" i="1"/>
  <c r="H110" i="1"/>
  <c r="I110" i="1"/>
  <c r="I111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I168" i="1" s="1"/>
  <c r="C11" i="10"/>
  <c r="C13" i="10"/>
  <c r="C16" i="10"/>
  <c r="L249" i="1"/>
  <c r="L331" i="1"/>
  <c r="L253" i="1"/>
  <c r="C25" i="10"/>
  <c r="L267" i="1"/>
  <c r="L268" i="1"/>
  <c r="L348" i="1"/>
  <c r="L349" i="1"/>
  <c r="I664" i="1"/>
  <c r="I669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0" i="1"/>
  <c r="F548" i="1"/>
  <c r="L521" i="1"/>
  <c r="F549" i="1"/>
  <c r="K549" i="1" s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J551" i="1" s="1"/>
  <c r="L542" i="1"/>
  <c r="J550" i="1"/>
  <c r="E131" i="2"/>
  <c r="E130" i="2"/>
  <c r="K269" i="1"/>
  <c r="K270" i="1" s="1"/>
  <c r="J269" i="1"/>
  <c r="I269" i="1"/>
  <c r="H269" i="1"/>
  <c r="G269" i="1"/>
  <c r="F269" i="1"/>
  <c r="C130" i="2"/>
  <c r="A1" i="2"/>
  <c r="A2" i="2"/>
  <c r="C8" i="2"/>
  <c r="D8" i="2"/>
  <c r="D18" i="2" s="1"/>
  <c r="E8" i="2"/>
  <c r="F8" i="2"/>
  <c r="I438" i="1"/>
  <c r="J9" i="1"/>
  <c r="G8" i="2" s="1"/>
  <c r="C9" i="2"/>
  <c r="D9" i="2"/>
  <c r="E9" i="2"/>
  <c r="E18" i="2" s="1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F18" i="2" s="1"/>
  <c r="I441" i="1"/>
  <c r="J13" i="1" s="1"/>
  <c r="G12" i="2" s="1"/>
  <c r="C13" i="2"/>
  <c r="D13" i="2"/>
  <c r="E13" i="2"/>
  <c r="F13" i="2"/>
  <c r="I442" i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/>
  <c r="C21" i="2"/>
  <c r="D21" i="2"/>
  <c r="E21" i="2"/>
  <c r="F21" i="2"/>
  <c r="F31" i="2" s="1"/>
  <c r="F50" i="2" s="1"/>
  <c r="I447" i="1"/>
  <c r="J22" i="1"/>
  <c r="C22" i="2"/>
  <c r="D22" i="2"/>
  <c r="D31" i="2" s="1"/>
  <c r="E22" i="2"/>
  <c r="F22" i="2"/>
  <c r="I448" i="1"/>
  <c r="J23" i="1"/>
  <c r="G22" i="2" s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I458" i="1"/>
  <c r="J47" i="1" s="1"/>
  <c r="G46" i="2" s="1"/>
  <c r="C48" i="2"/>
  <c r="D55" i="2"/>
  <c r="E55" i="2"/>
  <c r="C56" i="2"/>
  <c r="C57" i="2"/>
  <c r="C61" i="2" s="1"/>
  <c r="E57" i="2"/>
  <c r="C58" i="2"/>
  <c r="D58" i="2"/>
  <c r="E58" i="2"/>
  <c r="F58" i="2"/>
  <c r="C60" i="2"/>
  <c r="D60" i="2"/>
  <c r="E60" i="2"/>
  <c r="F60" i="2"/>
  <c r="C65" i="2"/>
  <c r="C66" i="2"/>
  <c r="C68" i="2"/>
  <c r="C69" i="2" s="1"/>
  <c r="D68" i="2"/>
  <c r="D69" i="2"/>
  <c r="E68" i="2"/>
  <c r="E69" i="2"/>
  <c r="F68" i="2"/>
  <c r="F69" i="2"/>
  <c r="G68" i="2"/>
  <c r="G69" i="2"/>
  <c r="C71" i="2"/>
  <c r="F71" i="2"/>
  <c r="C72" i="2"/>
  <c r="F72" i="2"/>
  <c r="F77" i="2" s="1"/>
  <c r="F80" i="2" s="1"/>
  <c r="C73" i="2"/>
  <c r="C74" i="2"/>
  <c r="C75" i="2"/>
  <c r="E75" i="2"/>
  <c r="E77" i="2" s="1"/>
  <c r="E80" i="2" s="1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D102" i="2" s="1"/>
  <c r="E95" i="2"/>
  <c r="F95" i="2"/>
  <c r="F102" i="2" s="1"/>
  <c r="G95" i="2"/>
  <c r="C96" i="2"/>
  <c r="D96" i="2"/>
  <c r="E96" i="2"/>
  <c r="E102" i="2" s="1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14" i="2" s="1"/>
  <c r="C109" i="2"/>
  <c r="E109" i="2"/>
  <c r="E110" i="2"/>
  <c r="C111" i="2"/>
  <c r="E111" i="2"/>
  <c r="E112" i="2"/>
  <c r="D114" i="2"/>
  <c r="F114" i="2"/>
  <c r="G114" i="2"/>
  <c r="E117" i="2"/>
  <c r="C118" i="2"/>
  <c r="E118" i="2"/>
  <c r="E119" i="2"/>
  <c r="E127" i="2" s="1"/>
  <c r="E120" i="2"/>
  <c r="E121" i="2"/>
  <c r="E122" i="2"/>
  <c r="E123" i="2"/>
  <c r="C124" i="2"/>
  <c r="E124" i="2"/>
  <c r="D127" i="2"/>
  <c r="D144" i="2" s="1"/>
  <c r="F127" i="2"/>
  <c r="G127" i="2"/>
  <c r="C129" i="2"/>
  <c r="E129" i="2"/>
  <c r="D133" i="2"/>
  <c r="D143" i="2" s="1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G158" i="2" s="1"/>
  <c r="E158" i="2"/>
  <c r="F158" i="2"/>
  <c r="B159" i="2"/>
  <c r="C159" i="2"/>
  <c r="G159" i="2" s="1"/>
  <c r="D159" i="2"/>
  <c r="E159" i="2"/>
  <c r="F159" i="2"/>
  <c r="F499" i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G161" i="2" s="1"/>
  <c r="E161" i="2"/>
  <c r="F161" i="2"/>
  <c r="B162" i="2"/>
  <c r="C162" i="2"/>
  <c r="G162" i="2" s="1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I50" i="1"/>
  <c r="I51" i="1"/>
  <c r="H619" i="1" s="1"/>
  <c r="F176" i="1"/>
  <c r="I176" i="1"/>
  <c r="F182" i="1"/>
  <c r="G182" i="1"/>
  <c r="G191" i="1" s="1"/>
  <c r="H182" i="1"/>
  <c r="I182" i="1"/>
  <c r="J182" i="1"/>
  <c r="J191" i="1" s="1"/>
  <c r="F187" i="1"/>
  <c r="G187" i="1"/>
  <c r="H187" i="1"/>
  <c r="H191" i="1" s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L255" i="1" s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L336" i="1" s="1"/>
  <c r="G336" i="1"/>
  <c r="H336" i="1"/>
  <c r="I336" i="1"/>
  <c r="J336" i="1"/>
  <c r="J351" i="1"/>
  <c r="K336" i="1"/>
  <c r="K337" i="1"/>
  <c r="K351" i="1" s="1"/>
  <c r="F361" i="1"/>
  <c r="G361" i="1"/>
  <c r="H361" i="1"/>
  <c r="I361" i="1"/>
  <c r="J361" i="1"/>
  <c r="K361" i="1"/>
  <c r="I367" i="1"/>
  <c r="G368" i="1"/>
  <c r="H368" i="1"/>
  <c r="L380" i="1"/>
  <c r="L381" i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G400" i="1"/>
  <c r="H400" i="1"/>
  <c r="I400" i="1"/>
  <c r="F406" i="1"/>
  <c r="G406" i="1"/>
  <c r="H406" i="1"/>
  <c r="I406" i="1"/>
  <c r="G407" i="1"/>
  <c r="I407" i="1"/>
  <c r="L412" i="1"/>
  <c r="L413" i="1"/>
  <c r="L414" i="1"/>
  <c r="L415" i="1"/>
  <c r="L416" i="1"/>
  <c r="L417" i="1"/>
  <c r="F418" i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H426" i="1"/>
  <c r="I426" i="1"/>
  <c r="I433" i="1" s="1"/>
  <c r="J426" i="1"/>
  <c r="L428" i="1"/>
  <c r="L429" i="1"/>
  <c r="L430" i="1"/>
  <c r="L432" i="1" s="1"/>
  <c r="L431" i="1"/>
  <c r="F432" i="1"/>
  <c r="G432" i="1"/>
  <c r="H432" i="1"/>
  <c r="I432" i="1"/>
  <c r="J432" i="1"/>
  <c r="F445" i="1"/>
  <c r="G638" i="1" s="1"/>
  <c r="G445" i="1"/>
  <c r="G639" i="1" s="1"/>
  <c r="H445" i="1"/>
  <c r="F451" i="1"/>
  <c r="G451" i="1"/>
  <c r="G460" i="1" s="1"/>
  <c r="H639" i="1" s="1"/>
  <c r="H451" i="1"/>
  <c r="F459" i="1"/>
  <c r="F460" i="1" s="1"/>
  <c r="H638" i="1" s="1"/>
  <c r="G459" i="1"/>
  <c r="H459" i="1"/>
  <c r="H460" i="1"/>
  <c r="G469" i="1"/>
  <c r="G475" i="1" s="1"/>
  <c r="H622" i="1" s="1"/>
  <c r="H469" i="1"/>
  <c r="I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J544" i="1" s="1"/>
  <c r="K533" i="1"/>
  <c r="L533" i="1"/>
  <c r="F538" i="1"/>
  <c r="G538" i="1"/>
  <c r="G544" i="1" s="1"/>
  <c r="H538" i="1"/>
  <c r="I538" i="1"/>
  <c r="J538" i="1"/>
  <c r="K538" i="1"/>
  <c r="K544" i="1" s="1"/>
  <c r="L538" i="1"/>
  <c r="F543" i="1"/>
  <c r="G543" i="1"/>
  <c r="H543" i="1"/>
  <c r="I543" i="1"/>
  <c r="J543" i="1"/>
  <c r="K543" i="1"/>
  <c r="L543" i="1"/>
  <c r="L556" i="1"/>
  <c r="L557" i="1"/>
  <c r="L558" i="1"/>
  <c r="F559" i="1"/>
  <c r="F570" i="1" s="1"/>
  <c r="G559" i="1"/>
  <c r="H559" i="1"/>
  <c r="I559" i="1"/>
  <c r="J559" i="1"/>
  <c r="J570" i="1" s="1"/>
  <c r="K559" i="1"/>
  <c r="L561" i="1"/>
  <c r="L562" i="1"/>
  <c r="L563" i="1"/>
  <c r="L564" i="1" s="1"/>
  <c r="L570" i="1" s="1"/>
  <c r="F564" i="1"/>
  <c r="G564" i="1"/>
  <c r="H564" i="1"/>
  <c r="I564" i="1"/>
  <c r="I570" i="1" s="1"/>
  <c r="J564" i="1"/>
  <c r="K564" i="1"/>
  <c r="L566" i="1"/>
  <c r="L567" i="1"/>
  <c r="L569" i="1" s="1"/>
  <c r="L568" i="1"/>
  <c r="F569" i="1"/>
  <c r="G569" i="1"/>
  <c r="H569" i="1"/>
  <c r="H570" i="1" s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G617" i="1"/>
  <c r="G619" i="1"/>
  <c r="G622" i="1"/>
  <c r="G624" i="1"/>
  <c r="H627" i="1"/>
  <c r="H628" i="1"/>
  <c r="H629" i="1"/>
  <c r="H631" i="1"/>
  <c r="H632" i="1"/>
  <c r="G633" i="1"/>
  <c r="H634" i="1"/>
  <c r="H635" i="1"/>
  <c r="H637" i="1"/>
  <c r="G640" i="1"/>
  <c r="J640" i="1" s="1"/>
  <c r="H640" i="1"/>
  <c r="G642" i="1"/>
  <c r="G643" i="1"/>
  <c r="G644" i="1"/>
  <c r="H644" i="1"/>
  <c r="G649" i="1"/>
  <c r="G650" i="1"/>
  <c r="G651" i="1"/>
  <c r="H651" i="1"/>
  <c r="G652" i="1"/>
  <c r="H652" i="1"/>
  <c r="G653" i="1"/>
  <c r="H653" i="1"/>
  <c r="H654" i="1"/>
  <c r="K256" i="1"/>
  <c r="I256" i="1"/>
  <c r="I270" i="1" s="1"/>
  <c r="G256" i="1"/>
  <c r="G270" i="1"/>
  <c r="L350" i="1"/>
  <c r="A31" i="12"/>
  <c r="E49" i="2"/>
  <c r="C7" i="13"/>
  <c r="D17" i="13"/>
  <c r="C17" i="13" s="1"/>
  <c r="C90" i="2"/>
  <c r="G80" i="2"/>
  <c r="F61" i="2"/>
  <c r="C77" i="2"/>
  <c r="C80" i="2"/>
  <c r="G157" i="2"/>
  <c r="D90" i="2"/>
  <c r="F90" i="2"/>
  <c r="E31" i="2"/>
  <c r="D19" i="13"/>
  <c r="C19" i="13" s="1"/>
  <c r="D14" i="13"/>
  <c r="C14" i="13" s="1"/>
  <c r="J256" i="1"/>
  <c r="J270" i="1" s="1"/>
  <c r="K570" i="1"/>
  <c r="D80" i="2"/>
  <c r="H168" i="1"/>
  <c r="E50" i="2"/>
  <c r="H475" i="1"/>
  <c r="H623" i="1"/>
  <c r="I475" i="1"/>
  <c r="H624" i="1"/>
  <c r="J624" i="1" s="1"/>
  <c r="G337" i="1"/>
  <c r="G351" i="1"/>
  <c r="F168" i="1"/>
  <c r="J139" i="1"/>
  <c r="K548" i="1"/>
  <c r="H551" i="1"/>
  <c r="H139" i="1"/>
  <c r="A13" i="12"/>
  <c r="H25" i="13"/>
  <c r="C25" i="13" s="1"/>
  <c r="J650" i="1"/>
  <c r="L559" i="1"/>
  <c r="H337" i="1"/>
  <c r="H351" i="1" s="1"/>
  <c r="F337" i="1"/>
  <c r="F351" i="1" s="1"/>
  <c r="F551" i="1"/>
  <c r="L308" i="1"/>
  <c r="I544" i="1"/>
  <c r="G36" i="2"/>
  <c r="H544" i="1"/>
  <c r="K550" i="1"/>
  <c r="K551" i="1"/>
  <c r="C16" i="13"/>
  <c r="C24" i="10"/>
  <c r="G31" i="13"/>
  <c r="I337" i="1"/>
  <c r="I351" i="1"/>
  <c r="J649" i="1"/>
  <c r="L406" i="1"/>
  <c r="C139" i="2"/>
  <c r="I191" i="1"/>
  <c r="I192" i="1" s="1"/>
  <c r="G629" i="1" s="1"/>
  <c r="J629" i="1" s="1"/>
  <c r="E90" i="2"/>
  <c r="J653" i="1"/>
  <c r="J652" i="1"/>
  <c r="G21" i="2"/>
  <c r="J433" i="1"/>
  <c r="F433" i="1"/>
  <c r="F31" i="13"/>
  <c r="G168" i="1"/>
  <c r="C39" i="10" s="1"/>
  <c r="G139" i="1"/>
  <c r="F139" i="1"/>
  <c r="C38" i="10" s="1"/>
  <c r="J617" i="1"/>
  <c r="C5" i="10"/>
  <c r="G42" i="2"/>
  <c r="G16" i="2"/>
  <c r="F544" i="1"/>
  <c r="J619" i="1"/>
  <c r="I139" i="1"/>
  <c r="A22" i="12"/>
  <c r="G570" i="1"/>
  <c r="G433" i="1"/>
  <c r="F660" i="1"/>
  <c r="H660" i="1"/>
  <c r="G660" i="1"/>
  <c r="I660" i="1" s="1"/>
  <c r="D59" i="2"/>
  <c r="D61" i="2" s="1"/>
  <c r="D62" i="2" s="1"/>
  <c r="G110" i="1"/>
  <c r="D5" i="13" l="1"/>
  <c r="F111" i="1"/>
  <c r="G111" i="1"/>
  <c r="G192" i="1" s="1"/>
  <c r="G627" i="1" s="1"/>
  <c r="J627" i="1" s="1"/>
  <c r="J651" i="1"/>
  <c r="J622" i="1"/>
  <c r="L418" i="1"/>
  <c r="G62" i="2"/>
  <c r="J638" i="1"/>
  <c r="L400" i="1"/>
  <c r="C138" i="2" s="1"/>
  <c r="H407" i="1"/>
  <c r="H643" i="1" s="1"/>
  <c r="J643" i="1" s="1"/>
  <c r="J644" i="1"/>
  <c r="F192" i="1"/>
  <c r="G626" i="1" s="1"/>
  <c r="F191" i="1"/>
  <c r="C102" i="2"/>
  <c r="L426" i="1"/>
  <c r="L433" i="1"/>
  <c r="G637" i="1" s="1"/>
  <c r="J637" i="1" s="1"/>
  <c r="L269" i="1"/>
  <c r="G102" i="2"/>
  <c r="G103" i="2"/>
  <c r="D103" i="2"/>
  <c r="J111" i="1"/>
  <c r="J192" i="1" s="1"/>
  <c r="C62" i="2"/>
  <c r="C103" i="2" s="1"/>
  <c r="C49" i="2"/>
  <c r="G621" i="1"/>
  <c r="J616" i="1"/>
  <c r="C18" i="2"/>
  <c r="G18" i="2"/>
  <c r="H256" i="1"/>
  <c r="H270" i="1" s="1"/>
  <c r="G662" i="1"/>
  <c r="I662" i="1" s="1"/>
  <c r="L613" i="1"/>
  <c r="C117" i="2"/>
  <c r="C15" i="10"/>
  <c r="D6" i="13"/>
  <c r="C6" i="13" s="1"/>
  <c r="H647" i="1"/>
  <c r="J647" i="1" s="1"/>
  <c r="G33" i="13"/>
  <c r="H33" i="13"/>
  <c r="C5" i="13"/>
  <c r="J642" i="1"/>
  <c r="B160" i="2"/>
  <c r="G160" i="2" s="1"/>
  <c r="K499" i="1"/>
  <c r="G156" i="2"/>
  <c r="D49" i="2"/>
  <c r="D50" i="2" s="1"/>
  <c r="I551" i="1"/>
  <c r="G551" i="1"/>
  <c r="L392" i="1"/>
  <c r="L361" i="1"/>
  <c r="L544" i="1"/>
  <c r="J639" i="1"/>
  <c r="F256" i="1"/>
  <c r="F270" i="1" s="1"/>
  <c r="H51" i="1"/>
  <c r="H618" i="1" s="1"/>
  <c r="J618" i="1" s="1"/>
  <c r="G623" i="1"/>
  <c r="J623" i="1" s="1"/>
  <c r="B163" i="2"/>
  <c r="G163" i="2" s="1"/>
  <c r="K502" i="1"/>
  <c r="L246" i="1"/>
  <c r="C12" i="10"/>
  <c r="L210" i="1"/>
  <c r="C110" i="2"/>
  <c r="C121" i="2"/>
  <c r="C19" i="10"/>
  <c r="E13" i="13"/>
  <c r="C13" i="13" s="1"/>
  <c r="C17" i="10"/>
  <c r="C119" i="2"/>
  <c r="J31" i="1"/>
  <c r="I451" i="1"/>
  <c r="C31" i="2"/>
  <c r="C50" i="2" s="1"/>
  <c r="F129" i="2"/>
  <c r="F143" i="2" s="1"/>
  <c r="F144" i="2" s="1"/>
  <c r="C112" i="2"/>
  <c r="C23" i="10"/>
  <c r="D18" i="13"/>
  <c r="C18" i="13" s="1"/>
  <c r="C113" i="2"/>
  <c r="C21" i="10"/>
  <c r="C123" i="2"/>
  <c r="G648" i="1"/>
  <c r="J648" i="1" s="1"/>
  <c r="D15" i="13"/>
  <c r="C15" i="13" s="1"/>
  <c r="F661" i="1"/>
  <c r="I661" i="1" s="1"/>
  <c r="H646" i="1"/>
  <c r="J45" i="1"/>
  <c r="I459" i="1"/>
  <c r="C122" i="2"/>
  <c r="C20" i="10"/>
  <c r="K597" i="1"/>
  <c r="G646" i="1" s="1"/>
  <c r="F368" i="1"/>
  <c r="I366" i="1"/>
  <c r="F469" i="1"/>
  <c r="F475" i="1" s="1"/>
  <c r="H621" i="1" s="1"/>
  <c r="H626" i="1"/>
  <c r="J469" i="1"/>
  <c r="J475" i="1" s="1"/>
  <c r="H625" i="1" s="1"/>
  <c r="H630" i="1"/>
  <c r="H636" i="1"/>
  <c r="J14" i="1"/>
  <c r="G13" i="2" s="1"/>
  <c r="I445" i="1"/>
  <c r="G641" i="1" s="1"/>
  <c r="D12" i="13"/>
  <c r="C12" i="13" s="1"/>
  <c r="C120" i="2"/>
  <c r="J19" i="1"/>
  <c r="G620" i="1" s="1"/>
  <c r="E8" i="13"/>
  <c r="E142" i="2"/>
  <c r="E143" i="2" s="1"/>
  <c r="E144" i="2" s="1"/>
  <c r="C26" i="10"/>
  <c r="C18" i="10"/>
  <c r="E56" i="2"/>
  <c r="E61" i="2" s="1"/>
  <c r="E62" i="2" s="1"/>
  <c r="E103" i="2" s="1"/>
  <c r="H111" i="1"/>
  <c r="H192" i="1" s="1"/>
  <c r="G628" i="1" s="1"/>
  <c r="J628" i="1" s="1"/>
  <c r="F55" i="2"/>
  <c r="F62" i="2" s="1"/>
  <c r="F103" i="2" s="1"/>
  <c r="C35" i="10"/>
  <c r="F22" i="13"/>
  <c r="C29" i="10"/>
  <c r="L327" i="1"/>
  <c r="C10" i="10"/>
  <c r="L289" i="1"/>
  <c r="I460" i="1" l="1"/>
  <c r="H641" i="1" s="1"/>
  <c r="J641" i="1" s="1"/>
  <c r="J626" i="1"/>
  <c r="G630" i="1"/>
  <c r="J630" i="1" s="1"/>
  <c r="G645" i="1"/>
  <c r="J621" i="1"/>
  <c r="H659" i="1"/>
  <c r="H663" i="1" s="1"/>
  <c r="C27" i="10"/>
  <c r="C28" i="10" s="1"/>
  <c r="G634" i="1"/>
  <c r="J634" i="1" s="1"/>
  <c r="C127" i="2"/>
  <c r="C36" i="10"/>
  <c r="C41" i="10" s="1"/>
  <c r="J646" i="1"/>
  <c r="G44" i="2"/>
  <c r="G49" i="2" s="1"/>
  <c r="G50" i="2" s="1"/>
  <c r="J50" i="1"/>
  <c r="I368" i="1"/>
  <c r="H633" i="1" s="1"/>
  <c r="J633" i="1" s="1"/>
  <c r="D29" i="13"/>
  <c r="G30" i="2"/>
  <c r="G31" i="2" s="1"/>
  <c r="J32" i="1"/>
  <c r="C114" i="2"/>
  <c r="L407" i="1"/>
  <c r="C137" i="2"/>
  <c r="G663" i="1"/>
  <c r="L337" i="1"/>
  <c r="L351" i="1" s="1"/>
  <c r="G632" i="1" s="1"/>
  <c r="J632" i="1" s="1"/>
  <c r="D31" i="13"/>
  <c r="C31" i="13" s="1"/>
  <c r="C22" i="13"/>
  <c r="F33" i="13"/>
  <c r="C8" i="13"/>
  <c r="E33" i="13"/>
  <c r="D35" i="13" s="1"/>
  <c r="F659" i="1"/>
  <c r="L256" i="1"/>
  <c r="L270" i="1" s="1"/>
  <c r="G631" i="1" s="1"/>
  <c r="J631" i="1" s="1"/>
  <c r="D22" i="10" l="1"/>
  <c r="D11" i="10"/>
  <c r="D25" i="10"/>
  <c r="C30" i="10"/>
  <c r="D24" i="10"/>
  <c r="D16" i="10"/>
  <c r="D13" i="10"/>
  <c r="D20" i="10"/>
  <c r="D19" i="10"/>
  <c r="D23" i="10"/>
  <c r="D21" i="10"/>
  <c r="D26" i="10"/>
  <c r="D18" i="10"/>
  <c r="D10" i="10"/>
  <c r="D12" i="10"/>
  <c r="D17" i="10"/>
  <c r="D15" i="10"/>
  <c r="D40" i="10"/>
  <c r="D37" i="10"/>
  <c r="D38" i="10"/>
  <c r="D39" i="10"/>
  <c r="D35" i="10"/>
  <c r="G666" i="1"/>
  <c r="G671" i="1"/>
  <c r="C29" i="13"/>
  <c r="D33" i="13"/>
  <c r="D36" i="13" s="1"/>
  <c r="J51" i="1"/>
  <c r="H620" i="1" s="1"/>
  <c r="J620" i="1" s="1"/>
  <c r="G625" i="1"/>
  <c r="C140" i="2"/>
  <c r="C143" i="2" s="1"/>
  <c r="C144" i="2" s="1"/>
  <c r="D27" i="10"/>
  <c r="D36" i="10"/>
  <c r="H671" i="1"/>
  <c r="C6" i="10" s="1"/>
  <c r="H666" i="1"/>
  <c r="H645" i="1"/>
  <c r="J645" i="1" s="1"/>
  <c r="G636" i="1"/>
  <c r="J636" i="1" s="1"/>
  <c r="I659" i="1"/>
  <c r="I663" i="1" s="1"/>
  <c r="F663" i="1"/>
  <c r="J625" i="1" l="1"/>
  <c r="H655" i="1"/>
  <c r="F671" i="1"/>
  <c r="C4" i="10" s="1"/>
  <c r="F666" i="1"/>
  <c r="D41" i="10"/>
  <c r="D28" i="10"/>
  <c r="I671" i="1"/>
  <c r="C7" i="10" s="1"/>
  <c r="I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<sst xmlns="http://schemas.openxmlformats.org/spreadsheetml/2006/main" count="3947" uniqueCount="912">
  <si>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</si>
  <si>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</si>
  <si>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</si>
  <si>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</si>
  <si>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</si>
  <si>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</si>
  <si>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</si>
  <si>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</si>
  <si>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</si>
  <si>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</si>
  <si>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</si>
  <si>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</si>
  <si>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</si>
  <si>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</si>
  <si>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</si>
  <si>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</si>
  <si>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</si>
  <si>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</si>
  <si>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</si>
  <si>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</si>
  <si>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</si>
  <si>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</si>
  <si>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</si>
  <si>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</si>
  <si>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</si>
  <si>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</si>
  <si>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</si>
  <si>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</si>
  <si>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</si>
  <si>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</si>
  <si>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</si>
  <si>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</si>
  <si>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</si>
  <si>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</si>
  <si>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</si>
  <si>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</si>
  <si>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</si>
  <si>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</si>
  <si>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</si>
  <si>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</si>
  <si>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</si>
  <si>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</si>
  <si>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</si>
  <si>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</si>
  <si>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</si>
  <si>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</si>
  <si>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</si>
  <si>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</si>
  <si>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</si>
  <si>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</si>
  <si>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</si>
  <si>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</si>
  <si>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</si>
  <si>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</si>
  <si>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</si>
  <si>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</si>
  <si>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</si>
  <si>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</si>
  <si>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</si>
  <si>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</si>
  <si>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</si>
  <si>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</si>
  <si>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</si>
  <si>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</si>
  <si>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</si>
  <si>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</si>
  <si>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</si>
  <si>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</si>
  <si>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</si>
  <si>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</si>
  <si>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</si>
  <si>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</si>
  <si>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</si>
  <si>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</si>
  <si>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</si>
  <si>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</si>
  <si>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</si>
  <si>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</si>
  <si>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</si>
  <si>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</si>
  <si>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</si>
  <si>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</si>
  <si>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</si>
  <si>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</si>
  <si>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</si>
  <si>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</si>
  <si>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</si>
  <si>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</si>
  <si>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</si>
  <si>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</si>
  <si>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</si>
  <si>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</si>
  <si>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</si>
  <si>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</si>
  <si>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</si>
  <si>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</si>
  <si>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</si>
  <si>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</si>
  <si>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</si>
  <si>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</si>
  <si>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</si>
  <si>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</si>
  <si>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</si>
  <si>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</si>
  <si>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</si>
  <si>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</si>
  <si>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</si>
  <si>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</si>
  <si>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</si>
  <si>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</si>
  <si>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</si>
  <si>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</si>
  <si>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</si>
  <si>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</si>
  <si>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</si>
  <si>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</si>
  <si>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</si>
  <si>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</si>
  <si>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</si>
  <si>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</si>
  <si>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</si>
  <si>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</si>
  <si>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</si>
  <si>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</si>
  <si>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</si>
  <si>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</si>
  <si>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</si>
  <si>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</si>
  <si>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</si>
  <si>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</si>
  <si>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</si>
  <si>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</si>
  <si>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</si>
  <si>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</si>
  <si>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</si>
  <si>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</si>
  <si>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</si>
  <si>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</si>
  <si>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</si>
  <si>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</si>
  <si>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</si>
  <si>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</si>
  <si>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</si>
  <si>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</si>
  <si>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</si>
  <si>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</si>
  <si>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</si>
  <si>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</si>
  <si>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</si>
  <si>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</si>
  <si>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</si>
  <si>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</si>
  <si>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</si>
  <si>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</si>
  <si>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</si>
  <si>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</si>
  <si>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</si>
  <si>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</si>
  <si>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</si>
  <si>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</si>
  <si>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</si>
  <si>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</si>
  <si>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</si>
  <si>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</si>
  <si>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</si>
  <si>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</si>
  <si>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</si>
  <si>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</si>
  <si>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</si>
  <si>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</si>
  <si>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</si>
  <si>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</si>
  <si>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</si>
  <si>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</si>
  <si>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</si>
  <si>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</si>
  <si>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</si>
  <si>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</si>
  <si>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</si>
  <si>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</si>
  <si>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</si>
  <si>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</si>
  <si>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</si>
  <si>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</si>
  <si>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</si>
  <si>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</si>
  <si>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</si>
  <si>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</si>
  <si>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</si>
  <si>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</si>
  <si>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</si>
  <si>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</si>
  <si>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</si>
  <si>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</si>
  <si>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</si>
  <si>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</si>
  <si>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</si>
  <si>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</si>
  <si>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</si>
  <si>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</si>
  <si>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</si>
  <si>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</si>
  <si>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</si>
  <si>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</si>
  <si>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</si>
  <si>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</si>
  <si>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</si>
  <si>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</si>
  <si>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</si>
  <si>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</si>
  <si>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</si>
  <si>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</si>
  <si>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</si>
  <si>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</si>
  <si>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</si>
  <si>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</si>
  <si>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</si>
  <si>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</si>
  <si>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</si>
  <si>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</si>
  <si>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</si>
  <si>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</si>
  <si>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</si>
  <si>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</si>
  <si>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</si>
  <si>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</si>
  <si>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</si>
  <si>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</si>
  <si>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</si>
  <si>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</si>
  <si>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</si>
  <si>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</si>
  <si>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</si>
  <si>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</si>
  <si>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</si>
  <si>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</si>
  <si>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</si>
  <si>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</si>
  <si>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</si>
  <si>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</si>
  <si>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</si>
  <si>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</si>
  <si>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</si>
  <si>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</si>
  <si>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</si>
  <si>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</si>
  <si>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</si>
  <si>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</si>
  <si>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</si>
  <si>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</si>
  <si>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</si>
  <si>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</si>
  <si>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</si>
  <si>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</si>
  <si>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</si>
  <si>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</si>
  <si>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</si>
  <si>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</si>
  <si>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</si>
  <si>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</si>
  <si>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</si>
  <si>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</si>
  <si>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</si>
  <si>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</si>
  <si>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</si>
  <si>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</si>
  <si>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</si>
  <si>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</si>
  <si>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</si>
  <si>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</si>
  <si>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</si>
  <si>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</si>
  <si>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</si>
  <si>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</si>
  <si>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</si>
  <si>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</si>
  <si>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</si>
  <si>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</si>
  <si>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</si>
  <si>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</si>
  <si>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</si>
  <si>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</si>
  <si>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</si>
  <si>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</si>
  <si>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</si>
  <si>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</si>
  <si>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</si>
  <si>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</si>
  <si>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</si>
  <si>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</si>
  <si>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</si>
  <si>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</si>
  <si>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</si>
  <si>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</si>
  <si>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</si>
  <si>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</si>
  <si>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</si>
  <si>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</si>
  <si>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</si>
  <si>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</si>
  <si>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</si>
  <si>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</si>
  <si>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</si>
  <si>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</si>
  <si>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</si>
  <si>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</si>
  <si>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</si>
  <si>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</si>
  <si>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</si>
  <si>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</si>
  <si>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</si>
  <si>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</si>
  <si>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</si>
  <si>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</si>
  <si>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</si>
  <si>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</si>
  <si>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</si>
  <si>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</si>
  <si>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</si>
  <si>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</si>
  <si>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</si>
  <si>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</si>
  <si>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</si>
  <si>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</si>
  <si>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</si>
  <si>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</si>
  <si>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</si>
  <si>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</si>
  <si>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</si>
  <si>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</si>
  <si>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</si>
  <si>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</si>
  <si>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</si>
  <si>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</si>
  <si>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</si>
  <si>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</si>
  <si>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</si>
  <si>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</si>
  <si>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</si>
  <si>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</si>
  <si>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</si>
  <si>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</si>
  <si>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</si>
  <si>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</si>
  <si>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</si>
  <si>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</si>
  <si>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</si>
  <si>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</si>
  <si>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</si>
  <si>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</si>
  <si>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</si>
  <si>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</si>
  <si>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</si>
  <si>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</si>
  <si>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</si>
  <si>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</si>
  <si>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</si>
  <si>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</si>
  <si>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</si>
  <si>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</si>
  <si>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</si>
  <si>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</si>
  <si>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</si>
  <si>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</si>
  <si>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</si>
  <si>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</si>
  <si>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</si>
  <si>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</si>
  <si>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</si>
  <si>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</si>
  <si>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</si>
  <si>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</si>
  <si>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</si>
  <si>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</si>
  <si>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</si>
  <si>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</si>
  <si>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</si>
  <si>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</si>
  <si>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</si>
  <si>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</si>
  <si>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</si>
  <si>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</si>
  <si>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</si>
  <si>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</si>
  <si>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</si>
  <si>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</si>
  <si>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</si>
  <si>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</si>
  <si>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</si>
  <si>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</si>
  <si>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</si>
  <si>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</si>
  <si>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</si>
  <si>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</si>
  <si>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</si>
  <si>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</si>
  <si>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</si>
  <si>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</si>
  <si>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</si>
  <si>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</si>
  <si>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</si>
  <si>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</si>
  <si>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</si>
  <si>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</si>
  <si>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</si>
  <si>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</si>
  <si>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</si>
  <si>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</si>
  <si>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</si>
  <si>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</si>
  <si>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</si>
  <si>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</si>
  <si>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</si>
  <si>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</si>
  <si>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</si>
  <si>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</si>
  <si>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</si>
  <si>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</si>
  <si>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</si>
  <si>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</si>
  <si>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</si>
  <si>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</si>
  <si>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</si>
  <si>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</si>
  <si>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</si>
  <si>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</si>
  <si>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</si>
  <si>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</si>
  <si>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</si>
  <si>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</si>
  <si>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</si>
  <si>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</si>
  <si>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</si>
  <si>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</si>
  <si>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</si>
  <si>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</si>
  <si>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</si>
  <si>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</si>
  <si>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</si>
  <si>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</si>
  <si>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</si>
  <si>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</si>
  <si>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</si>
  <si>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</si>
  <si>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</si>
  <si>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</si>
  <si>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</si>
  <si>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</si>
  <si>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</si>
  <si>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</si>
  <si>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</si>
  <si>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</si>
  <si>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</si>
  <si>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</si>
  <si>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</si>
  <si>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</si>
  <si>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</si>
  <si>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</si>
  <si>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</si>
  <si>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</si>
  <si>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</si>
  <si>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</si>
  <si>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</si>
  <si>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</si>
  <si>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</si>
  <si>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</si>
  <si>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</si>
  <si>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</si>
  <si>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</si>
  <si>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</si>
  <si>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</si>
  <si>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</si>
  <si>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</si>
  <si>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</si>
  <si>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</si>
  <si>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</si>
  <si>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</si>
  <si>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</si>
  <si>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</si>
  <si>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</si>
  <si>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</si>
  <si>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</si>
  <si>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</si>
  <si>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</si>
  <si>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</si>
  <si>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</si>
  <si>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</si>
  <si>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</si>
  <si>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</si>
  <si>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</si>
  <si>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</si>
  <si>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</si>
  <si>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</si>
  <si>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</si>
  <si>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</si>
  <si>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</si>
  <si>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</si>
  <si>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</si>
  <si>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</si>
  <si>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</si>
  <si>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</si>
  <si>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</si>
  <si>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</si>
  <si>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</si>
  <si>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</si>
  <si>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</si>
  <si>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</si>
  <si>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</si>
  <si>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</si>
  <si>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</si>
  <si>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</si>
  <si>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</si>
  <si>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</si>
  <si>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</si>
  <si>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</si>
  <si>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</si>
  <si>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</si>
  <si>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</si>
  <si>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</si>
  <si>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</si>
  <si>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</si>
  <si>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</si>
  <si>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</si>
  <si>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</si>
  <si>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</si>
  <si>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</si>
  <si>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</si>
  <si>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</si>
  <si>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</si>
  <si>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</si>
  <si>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</si>
  <si>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</si>
  <si>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</si>
  <si>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</si>
  <si>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</si>
  <si>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</si>
  <si>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</si>
  <si>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</si>
  <si>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</si>
  <si>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</si>
  <si>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</si>
  <si>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</si>
  <si>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</si>
  <si>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</si>
  <si>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</si>
  <si>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</si>
  <si>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</si>
  <si>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</si>
  <si>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</si>
  <si>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</si>
  <si>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</si>
  <si>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</si>
  <si>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</si>
  <si>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</si>
  <si>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</si>
  <si>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</si>
  <si>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</si>
  <si>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</si>
  <si>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</si>
  <si>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</si>
  <si>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</si>
  <si>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</si>
  <si>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</si>
  <si>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</si>
  <si>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</si>
  <si>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</si>
  <si>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</si>
  <si>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</si>
  <si>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</si>
  <si>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</si>
  <si>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</si>
  <si>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</si>
  <si>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</si>
  <si>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</si>
  <si>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</si>
  <si>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</si>
  <si>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</si>
  <si>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</si>
  <si>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</si>
  <si>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</si>
  <si>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</si>
  <si>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</si>
  <si>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</si>
  <si>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</si>
  <si>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</si>
  <si>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</si>
  <si>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</si>
  <si>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</si>
  <si>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</si>
  <si>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</si>
  <si>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</si>
  <si>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</si>
  <si>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</si>
  <si>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</si>
  <si>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</si>
  <si>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</si>
  <si>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</si>
  <si>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</si>
  <si>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</si>
  <si>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</si>
  <si>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</si>
  <si>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</si>
  <si>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</si>
  <si>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</si>
  <si>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</si>
  <si>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</si>
  <si>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</si>
  <si>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</si>
  <si>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</si>
  <si>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</si>
  <si>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</si>
  <si>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</si>
  <si>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</si>
  <si>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</si>
  <si>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</si>
  <si>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</si>
  <si>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</si>
  <si>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</si>
  <si>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</si>
  <si>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</si>
  <si>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</si>
  <si>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</si>
  <si>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</si>
  <si>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</si>
  <si>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</si>
  <si>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</si>
  <si>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</si>
  <si>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</si>
  <si>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</si>
  <si>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</si>
  <si>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</si>
  <si>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</si>
  <si>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</si>
  <si>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</si>
  <si>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</si>
  <si>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</si>
  <si>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</si>
  <si>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</si>
  <si>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</si>
  <si>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</si>
  <si>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</si>
  <si>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</si>
  <si>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</si>
  <si>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</si>
  <si>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</si>
  <si>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</si>
  <si>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</si>
  <si>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</si>
  <si>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</si>
  <si>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</si>
  <si>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</si>
  <si>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</si>
  <si>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</si>
  <si>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</si>
  <si>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</si>
  <si>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</si>
  <si>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</si>
  <si>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</si>
  <si>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</si>
  <si>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</si>
  <si>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</si>
  <si>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</si>
  <si>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</si>
  <si>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</si>
  <si>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</si>
  <si>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</si>
  <si>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</si>
  <si>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</si>
  <si>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</si>
  <si>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</si>
  <si>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</si>
  <si>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</si>
  <si>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</si>
  <si>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</si>
  <si>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</si>
  <si>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</si>
  <si>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</si>
  <si>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</si>
  <si>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</si>
  <si>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</si>
  <si>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</si>
  <si>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</si>
  <si>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</si>
  <si>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</si>
  <si>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</si>
  <si>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</si>
  <si>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</si>
  <si>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</si>
  <si>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</si>
  <si>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</si>
  <si>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</si>
  <si>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</si>
  <si>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</si>
  <si>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</si>
  <si>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</si>
  <si>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</si>
  <si>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</si>
  <si>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</si>
  <si>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</si>
  <si>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</si>
  <si>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</si>
  <si>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</si>
  <si>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</si>
  <si>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</si>
  <si>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</si>
  <si>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</si>
  <si>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</si>
  <si>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</si>
  <si>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</si>
  <si>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</si>
  <si>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</si>
  <si>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</si>
  <si>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</si>
  <si>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</si>
  <si>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</si>
  <si>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</si>
  <si>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</si>
  <si>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</si>
  <si>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</si>
  <si>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</si>
  <si>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</si>
  <si>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</si>
  <si>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</si>
  <si>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</si>
  <si>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</si>
  <si>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</si>
  <si>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</si>
  <si>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</si>
  <si>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</si>
  <si>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</si>
  <si>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</si>
  <si>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</si>
  <si>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</si>
  <si>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</si>
  <si>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</si>
  <si>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</si>
  <si>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</si>
  <si>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</si>
  <si>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</si>
  <si>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</si>
  <si>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</si>
  <si>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</si>
  <si>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</si>
  <si>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</si>
  <si>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</si>
  <si>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</si>
  <si>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</si>
  <si>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</si>
  <si>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</si>
  <si>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</si>
  <si>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</si>
  <si>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</si>
  <si>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</si>
  <si>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</si>
  <si>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</si>
  <si>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</si>
  <si>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</si>
  <si>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</si>
  <si>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</si>
  <si>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</si>
  <si>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</si>
  <si>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</si>
  <si>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</si>
  <si>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</si>
  <si>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</si>
  <si>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</si>
  <si>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</si>
  <si>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</si>
  <si>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</si>
  <si>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</si>
  <si>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</si>
  <si>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</si>
  <si>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</si>
  <si>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</si>
  <si>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</si>
  <si>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</si>
  <si>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</si>
  <si>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</si>
  <si>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</si>
  <si>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</si>
  <si>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</si>
  <si>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</si>
  <si>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</si>
  <si>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</si>
  <si>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</si>
  <si>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</si>
  <si>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</si>
  <si>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</si>
  <si>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</si>
  <si>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</si>
  <si>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</si>
  <si>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</si>
  <si>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</si>
  <si>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</si>
  <si>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</si>
  <si>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</si>
  <si>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</si>
  <si>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</si>
  <si>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</si>
  <si>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</si>
  <si>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</si>
  <si>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</si>
  <si>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</si>
  <si>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</si>
  <si>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</si>
  <si>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</si>
  <si>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</si>
  <si>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</si>
  <si>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</si>
  <si>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</si>
  <si>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</si>
  <si>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</si>
  <si>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</si>
  <si>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</si>
  <si>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</si>
  <si>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</si>
  <si>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</si>
  <si>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</si>
  <si>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</si>
  <si>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</si>
  <si>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</si>
  <si>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</si>
  <si>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</si>
  <si>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</si>
  <si>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</si>
  <si>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</si>
  <si>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</si>
  <si>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</si>
  <si>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</si>
  <si>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</si>
  <si>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</si>
  <si>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</si>
  <si>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</si>
  <si>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</si>
  <si>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</si>
  <si>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</si>
  <si>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</si>
  <si>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</si>
  <si>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</si>
  <si>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</si>
  <si>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</si>
  <si>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</si>
  <si>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</si>
  <si>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</si>
  <si>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</si>
  <si>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</si>
  <si>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</si>
  <si>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</si>
  <si>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</si>
  <si>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</si>
  <si>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</si>
  <si>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</si>
  <si>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</si>
  <si>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</si>
  <si>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</si>
  <si>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</si>
  <si>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</si>
  <si>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</si>
  <si>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</si>
  <si>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</si>
  <si>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</si>
  <si>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</si>
  <si>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</si>
  <si>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</si>
  <si>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</si>
  <si>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</si>
  <si>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</si>
  <si>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</si>
  <si>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</si>
  <si>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</si>
  <si>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</si>
  <si>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</si>
  <si>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</si>
  <si>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</si>
  <si>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</si>
  <si>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</si>
  <si>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</si>
  <si>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</si>
  <si>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</si>
  <si>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</si>
  <si>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</si>
  <si>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</si>
  <si>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</si>
  <si>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</si>
  <si>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</si>
  <si>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</si>
  <si>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</si>
  <si>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</si>
  <si>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</si>
  <si>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</si>
  <si>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</si>
  <si>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</si>
  <si>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</si>
  <si>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</si>
  <si>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</si>
  <si>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</si>
  <si>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</si>
  <si>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</si>
  <si>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</si>
  <si>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</si>
  <si>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</si>
  <si>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</si>
  <si>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</si>
  <si>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</si>
  <si>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</si>
  <si>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</si>
  <si>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</si>
  <si>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</si>
  <si>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</si>
  <si>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Monroe School SAU 77</t>
  </si>
  <si>
    <t>07-01-2013</t>
  </si>
  <si>
    <t>07-01-2009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</si>
</sst>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5"/>
  <sheetViews>
    <sheetView workbookViewId="0">
      <pane xSplit="5" ySplit="3" topLeftCell="F635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121649.78+100.05+323.06</f>
        <v>122072.89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-1167.6099999999999</v>
      </c>
      <c r="G12" s="18">
        <v>1021.89</v>
      </c>
      <c r="H12" s="18">
        <v>145.71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/>
      <c r="H13" s="18"/>
      <c r="I13" s="18"/>
      <c r="J13" s="67">
        <f>SUM(I441)</f>
        <v>98209.170000000013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2374.96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39790.36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160695.64000000001</v>
      </c>
      <c r="G19" s="41">
        <f>SUM(G9:G18)</f>
        <v>3396.85</v>
      </c>
      <c r="H19" s="41">
        <f>SUM(H9:H18)</f>
        <v>145.71</v>
      </c>
      <c r="I19" s="41">
        <f>SUM(I9:I18)</f>
        <v>0</v>
      </c>
      <c r="J19" s="41">
        <f>SUM(J9:J18)</f>
        <v>98209.170000000013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24273.87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36423.72</f>
        <v>36423.72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60697.59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39790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3396.85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v>145.71</v>
      </c>
      <c r="I47" s="18"/>
      <c r="J47" s="13">
        <f>SUM(I458)</f>
        <v>98209.170000000013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60208.05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99998.05</v>
      </c>
      <c r="G50" s="41">
        <f>SUM(G35:G49)</f>
        <v>3396.85</v>
      </c>
      <c r="H50" s="41">
        <f>SUM(H35:H49)</f>
        <v>145.71</v>
      </c>
      <c r="I50" s="41">
        <f>SUM(I35:I49)</f>
        <v>0</v>
      </c>
      <c r="J50" s="41">
        <f>SUM(J35:J49)</f>
        <v>98209.170000000013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160695.64000000001</v>
      </c>
      <c r="G51" s="41">
        <f>G50+G32</f>
        <v>3396.85</v>
      </c>
      <c r="H51" s="41">
        <f>H50+H32</f>
        <v>145.71</v>
      </c>
      <c r="I51" s="41">
        <f>I50+I32</f>
        <v>0</v>
      </c>
      <c r="J51" s="41">
        <f>J50+J32</f>
        <v>98209.170000000013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2264626</v>
      </c>
      <c r="G56" s="18">
        <v>0</v>
      </c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129671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2394297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213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213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375.64</v>
      </c>
      <c r="G95" s="18"/>
      <c r="H95" s="18"/>
      <c r="I95" s="18"/>
      <c r="J95" s="18">
        <v>18.11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14806.1+76.87</f>
        <v>14882.970000000001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4740.6099999999997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5116.25</v>
      </c>
      <c r="G110" s="41">
        <f>SUM(G95:G109)</f>
        <v>14882.970000000001</v>
      </c>
      <c r="H110" s="41">
        <f>SUM(H95:H109)</f>
        <v>0</v>
      </c>
      <c r="I110" s="41">
        <f>SUM(I95:I109)</f>
        <v>0</v>
      </c>
      <c r="J110" s="41">
        <f>SUM(J95:J109)</f>
        <v>18.11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2399626.25</v>
      </c>
      <c r="G111" s="41">
        <f>G59+G110</f>
        <v>14882.970000000001</v>
      </c>
      <c r="H111" s="41">
        <f>H59+H78+H93+H110</f>
        <v>0</v>
      </c>
      <c r="I111" s="41">
        <f>I59+I110</f>
        <v>0</v>
      </c>
      <c r="J111" s="41">
        <f>J59+J110</f>
        <v>18.11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270707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194410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465117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331.4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331.4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465117</v>
      </c>
      <c r="G139" s="41">
        <f>G120+SUM(G135:G136)</f>
        <v>331.4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11940.49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51579.91-11940.49</f>
        <v>39639.420000000006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17198.689999999999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17198.689999999999</v>
      </c>
      <c r="H161" s="41">
        <f>SUM(H149:H160)</f>
        <v>51579.91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175.22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175.22</v>
      </c>
      <c r="G168" s="41">
        <f>G146+G161+SUM(G162:G167)</f>
        <v>17198.689999999999</v>
      </c>
      <c r="H168" s="41">
        <f>H146+H161+SUM(H162:H167)</f>
        <v>51579.91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32053</v>
      </c>
      <c r="H178" s="18"/>
      <c r="I178" s="18"/>
      <c r="J178" s="18">
        <v>90000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32053</v>
      </c>
      <c r="H182" s="41">
        <f>SUM(H178:H181)</f>
        <v>0</v>
      </c>
      <c r="I182" s="41">
        <f>SUM(I178:I181)</f>
        <v>0</v>
      </c>
      <c r="J182" s="41">
        <f>SUM(J178:J181)</f>
        <v>90000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32053</v>
      </c>
      <c r="H191" s="41">
        <f>+H182+SUM(H187:H190)</f>
        <v>0</v>
      </c>
      <c r="I191" s="41">
        <f>I176+I182+SUM(I187:I190)</f>
        <v>0</v>
      </c>
      <c r="J191" s="41">
        <f>J182</f>
        <v>90000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2864918.47</v>
      </c>
      <c r="G192" s="47">
        <f>G111+G139+G168+G191</f>
        <v>64466.06</v>
      </c>
      <c r="H192" s="47">
        <f>H111+H139+H168+H191</f>
        <v>51579.91</v>
      </c>
      <c r="I192" s="47">
        <f>I111+I139+I168+I191</f>
        <v>0</v>
      </c>
      <c r="J192" s="47">
        <f>J111+J139+J191</f>
        <v>90018.11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439220.85</v>
      </c>
      <c r="G196" s="18">
        <v>186127.42</v>
      </c>
      <c r="H196" s="18">
        <f>18526.25</f>
        <v>18526.25</v>
      </c>
      <c r="I196" s="18">
        <v>17549.900000000001</v>
      </c>
      <c r="J196" s="18">
        <v>73192.75</v>
      </c>
      <c r="K196" s="18">
        <v>859.9</v>
      </c>
      <c r="L196" s="19">
        <f>SUM(F196:K196)</f>
        <v>735477.07000000007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120516.87</v>
      </c>
      <c r="G197" s="18">
        <v>74106.41</v>
      </c>
      <c r="H197" s="18">
        <f>22828.2+62047.78+2008.03</f>
        <v>86884.01</v>
      </c>
      <c r="I197" s="18">
        <v>6727.85</v>
      </c>
      <c r="J197" s="18">
        <v>3364.45</v>
      </c>
      <c r="K197" s="18">
        <v>917.95</v>
      </c>
      <c r="L197" s="19">
        <f>SUM(F197:K197)</f>
        <v>292517.53999999998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2750</v>
      </c>
      <c r="G199" s="18">
        <v>311.72000000000003</v>
      </c>
      <c r="H199" s="18">
        <v>1490</v>
      </c>
      <c r="I199" s="18">
        <v>819.8</v>
      </c>
      <c r="J199" s="18">
        <v>454.96</v>
      </c>
      <c r="K199" s="18">
        <v>525</v>
      </c>
      <c r="L199" s="19">
        <f>SUM(F199:K199)</f>
        <v>6351.4800000000005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8108.55</v>
      </c>
      <c r="G201" s="18">
        <v>994.86</v>
      </c>
      <c r="H201" s="18">
        <f>96587.9</f>
        <v>96587.9</v>
      </c>
      <c r="I201" s="18">
        <v>642.82000000000005</v>
      </c>
      <c r="J201" s="18">
        <v>0</v>
      </c>
      <c r="K201" s="18">
        <v>2240.14</v>
      </c>
      <c r="L201" s="19">
        <f t="shared" ref="L201:L207" si="0">SUM(F201:K201)</f>
        <v>108574.27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32982.97</v>
      </c>
      <c r="G202" s="18">
        <v>34076.589999999997</v>
      </c>
      <c r="H202" s="18">
        <v>8429.7199999999993</v>
      </c>
      <c r="I202" s="18">
        <v>1585.53</v>
      </c>
      <c r="J202" s="18">
        <v>783</v>
      </c>
      <c r="K202" s="18">
        <v>0</v>
      </c>
      <c r="L202" s="19">
        <f t="shared" si="0"/>
        <v>77857.81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193071.82-19000.02-50429.08</f>
        <v>123642.72000000002</v>
      </c>
      <c r="G203" s="18">
        <f>83740.13-31137.98</f>
        <v>52602.150000000009</v>
      </c>
      <c r="H203" s="18">
        <f>53694.67+14816.83+360</f>
        <v>68871.5</v>
      </c>
      <c r="I203" s="18">
        <v>11464.17</v>
      </c>
      <c r="J203" s="18">
        <v>2724.77</v>
      </c>
      <c r="K203" s="18">
        <v>7399.47</v>
      </c>
      <c r="L203" s="19">
        <f t="shared" si="0"/>
        <v>266704.78000000003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19000+50429.1</f>
        <v>69429.100000000006</v>
      </c>
      <c r="G204" s="18">
        <v>31137.98</v>
      </c>
      <c r="H204" s="18">
        <v>0</v>
      </c>
      <c r="I204" s="18">
        <v>222.33</v>
      </c>
      <c r="J204" s="18">
        <v>0</v>
      </c>
      <c r="K204" s="18">
        <v>0</v>
      </c>
      <c r="L204" s="19">
        <f t="shared" si="0"/>
        <v>100789.41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27318.6</v>
      </c>
      <c r="G206" s="18">
        <v>5066.63</v>
      </c>
      <c r="H206" s="18">
        <f>26045.54+1400+1355+4673.58</f>
        <v>33474.120000000003</v>
      </c>
      <c r="I206" s="18">
        <v>37396.61</v>
      </c>
      <c r="J206" s="18">
        <v>207.36</v>
      </c>
      <c r="K206" s="18">
        <v>800</v>
      </c>
      <c r="L206" s="19">
        <f t="shared" si="0"/>
        <v>104263.32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109780.46-5125.8-53896.65+10657.38</f>
        <v>61415.39</v>
      </c>
      <c r="I207" s="18"/>
      <c r="J207" s="18"/>
      <c r="K207" s="18"/>
      <c r="L207" s="19">
        <f t="shared" si="0"/>
        <v>61415.39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 t="s">
        <v>287</v>
      </c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823969.65999999992</v>
      </c>
      <c r="G210" s="41">
        <f t="shared" si="1"/>
        <v>384423.76</v>
      </c>
      <c r="H210" s="41">
        <f t="shared" si="1"/>
        <v>375678.89</v>
      </c>
      <c r="I210" s="41">
        <f t="shared" si="1"/>
        <v>76409.010000000009</v>
      </c>
      <c r="J210" s="41">
        <f t="shared" si="1"/>
        <v>80727.290000000008</v>
      </c>
      <c r="K210" s="41">
        <f t="shared" si="1"/>
        <v>12742.46</v>
      </c>
      <c r="L210" s="41">
        <f t="shared" si="1"/>
        <v>1753951.07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541462.94999999995</v>
      </c>
      <c r="I232" s="18"/>
      <c r="J232" s="18"/>
      <c r="K232" s="18"/>
      <c r="L232" s="19">
        <f>SUM(F232:K232)</f>
        <v>541462.94999999995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188530.25</v>
      </c>
      <c r="I233" s="18"/>
      <c r="J233" s="18"/>
      <c r="K233" s="18"/>
      <c r="L233" s="19">
        <f>SUM(F233:K233)</f>
        <v>188530.25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5125.8+53896.65</f>
        <v>59022.450000000004</v>
      </c>
      <c r="I243" s="18"/>
      <c r="J243" s="18"/>
      <c r="K243" s="18"/>
      <c r="L243" s="19">
        <f t="shared" si="4"/>
        <v>59022.450000000004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789015.64999999991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789015.64999999991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>
        <v>9985</v>
      </c>
      <c r="L254" s="19">
        <f t="shared" si="6"/>
        <v>9985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9985</v>
      </c>
      <c r="L255" s="41">
        <f>SUM(F255:K255)</f>
        <v>9985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823969.65999999992</v>
      </c>
      <c r="G256" s="41">
        <f t="shared" si="8"/>
        <v>384423.76</v>
      </c>
      <c r="H256" s="41">
        <f t="shared" si="8"/>
        <v>1164694.54</v>
      </c>
      <c r="I256" s="41">
        <f t="shared" si="8"/>
        <v>76409.010000000009</v>
      </c>
      <c r="J256" s="41">
        <f t="shared" si="8"/>
        <v>80727.290000000008</v>
      </c>
      <c r="K256" s="41">
        <f t="shared" si="8"/>
        <v>22727.46</v>
      </c>
      <c r="L256" s="41">
        <f t="shared" si="8"/>
        <v>2552951.7199999997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34890.75</v>
      </c>
      <c r="L259" s="19">
        <f>SUM(F259:K259)</f>
        <v>34890.75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352.43</v>
      </c>
      <c r="L260" s="19">
        <f>SUM(F260:K260)</f>
        <v>352.43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32053</v>
      </c>
      <c r="L262" s="19">
        <f>SUM(F262:K262)</f>
        <v>32053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90000</v>
      </c>
      <c r="L265" s="19">
        <f t="shared" si="9"/>
        <v>90000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157296.18</v>
      </c>
      <c r="L269" s="41">
        <f t="shared" si="9"/>
        <v>157296.18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823969.65999999992</v>
      </c>
      <c r="G270" s="42">
        <f t="shared" si="11"/>
        <v>384423.76</v>
      </c>
      <c r="H270" s="42">
        <f t="shared" si="11"/>
        <v>1164694.54</v>
      </c>
      <c r="I270" s="42">
        <f t="shared" si="11"/>
        <v>76409.010000000009</v>
      </c>
      <c r="J270" s="42">
        <f t="shared" si="11"/>
        <v>80727.290000000008</v>
      </c>
      <c r="K270" s="42">
        <f t="shared" si="11"/>
        <v>180023.63999999998</v>
      </c>
      <c r="L270" s="42">
        <f t="shared" si="11"/>
        <v>2710247.9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>
        <v>25</v>
      </c>
      <c r="H275" s="18">
        <f>8500+245</f>
        <v>8745</v>
      </c>
      <c r="I275" s="18">
        <v>8169.95</v>
      </c>
      <c r="J275" s="18">
        <v>7183.89</v>
      </c>
      <c r="K275" s="18"/>
      <c r="L275" s="19">
        <f>SUM(F275:K275)</f>
        <v>24123.84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20683.310000000001</v>
      </c>
      <c r="G276" s="18"/>
      <c r="H276" s="18"/>
      <c r="I276" s="18"/>
      <c r="J276" s="18"/>
      <c r="K276" s="18"/>
      <c r="L276" s="19">
        <f>SUM(F276:K276)</f>
        <v>20683.310000000001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4346</v>
      </c>
      <c r="G280" s="18"/>
      <c r="H280" s="18">
        <v>570</v>
      </c>
      <c r="I280" s="18"/>
      <c r="J280" s="18"/>
      <c r="K280" s="18"/>
      <c r="L280" s="19">
        <f t="shared" ref="L280:L286" si="12">SUM(F280:K280)</f>
        <v>4916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v>1856.76</v>
      </c>
      <c r="H281" s="18"/>
      <c r="I281" s="18"/>
      <c r="J281" s="18"/>
      <c r="K281" s="18"/>
      <c r="L281" s="19">
        <f t="shared" si="12"/>
        <v>1856.76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25029.31</v>
      </c>
      <c r="G289" s="42">
        <f t="shared" si="13"/>
        <v>1881.76</v>
      </c>
      <c r="H289" s="42">
        <f t="shared" si="13"/>
        <v>9315</v>
      </c>
      <c r="I289" s="42">
        <f t="shared" si="13"/>
        <v>8169.95</v>
      </c>
      <c r="J289" s="42">
        <f t="shared" si="13"/>
        <v>7183.89</v>
      </c>
      <c r="K289" s="42">
        <f t="shared" si="13"/>
        <v>0</v>
      </c>
      <c r="L289" s="41">
        <f t="shared" si="13"/>
        <v>51579.91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25029.31</v>
      </c>
      <c r="G337" s="41">
        <f t="shared" si="20"/>
        <v>1881.76</v>
      </c>
      <c r="H337" s="41">
        <f t="shared" si="20"/>
        <v>9315</v>
      </c>
      <c r="I337" s="41">
        <f t="shared" si="20"/>
        <v>8169.95</v>
      </c>
      <c r="J337" s="41">
        <f t="shared" si="20"/>
        <v>7183.89</v>
      </c>
      <c r="K337" s="41">
        <f t="shared" si="20"/>
        <v>0</v>
      </c>
      <c r="L337" s="41">
        <f t="shared" si="20"/>
        <v>51579.91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25029.31</v>
      </c>
      <c r="G351" s="41">
        <f>G337</f>
        <v>1881.76</v>
      </c>
      <c r="H351" s="41">
        <f>H337</f>
        <v>9315</v>
      </c>
      <c r="I351" s="41">
        <f>I337</f>
        <v>8169.95</v>
      </c>
      <c r="J351" s="41">
        <f>J337</f>
        <v>7183.89</v>
      </c>
      <c r="K351" s="47">
        <f>K337+K350</f>
        <v>0</v>
      </c>
      <c r="L351" s="41">
        <f>L337+L350</f>
        <v>51579.91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25514.13</v>
      </c>
      <c r="G357" s="18">
        <v>20294.900000000001</v>
      </c>
      <c r="H357" s="18">
        <f>2357.67+410.7</f>
        <v>2768.37</v>
      </c>
      <c r="I357" s="18">
        <v>21287.53</v>
      </c>
      <c r="J357" s="18">
        <v>188.61</v>
      </c>
      <c r="K357" s="18"/>
      <c r="L357" s="13">
        <f>SUM(F357:K357)</f>
        <v>70053.539999999994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25514.13</v>
      </c>
      <c r="G361" s="47">
        <f t="shared" si="22"/>
        <v>20294.900000000001</v>
      </c>
      <c r="H361" s="47">
        <f t="shared" si="22"/>
        <v>2768.37</v>
      </c>
      <c r="I361" s="47">
        <f t="shared" si="22"/>
        <v>21287.53</v>
      </c>
      <c r="J361" s="47">
        <f t="shared" si="22"/>
        <v>188.61</v>
      </c>
      <c r="K361" s="47">
        <f t="shared" si="22"/>
        <v>0</v>
      </c>
      <c r="L361" s="47">
        <f t="shared" si="22"/>
        <v>70053.539999999994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3994.72+14273.89</f>
        <v>18268.61</v>
      </c>
      <c r="G366" s="18"/>
      <c r="H366" s="18"/>
      <c r="I366" s="56">
        <f>SUM(F366:H366)</f>
        <v>18268.61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2616.48+402.44</f>
        <v>3018.92</v>
      </c>
      <c r="G367" s="63"/>
      <c r="H367" s="63"/>
      <c r="I367" s="56">
        <f>SUM(F367:H367)</f>
        <v>3018.92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21287.53</v>
      </c>
      <c r="G368" s="47">
        <f>SUM(G366:G367)</f>
        <v>0</v>
      </c>
      <c r="H368" s="47">
        <f>SUM(H366:H367)</f>
        <v>0</v>
      </c>
      <c r="I368" s="47">
        <f>SUM(I366:I367)</f>
        <v>21287.53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15000</v>
      </c>
      <c r="H388" s="18">
        <v>3.27</v>
      </c>
      <c r="I388" s="18"/>
      <c r="J388" s="24" t="s">
        <v>289</v>
      </c>
      <c r="K388" s="24" t="s">
        <v>289</v>
      </c>
      <c r="L388" s="56">
        <f t="shared" si="25"/>
        <v>15003.27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3.27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15003.27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75000</v>
      </c>
      <c r="H396" s="18">
        <v>4.75</v>
      </c>
      <c r="I396" s="18"/>
      <c r="J396" s="24" t="s">
        <v>289</v>
      </c>
      <c r="K396" s="24" t="s">
        <v>289</v>
      </c>
      <c r="L396" s="56">
        <f t="shared" si="26"/>
        <v>75004.75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10.09</v>
      </c>
      <c r="I397" s="18"/>
      <c r="J397" s="24" t="s">
        <v>289</v>
      </c>
      <c r="K397" s="24" t="s">
        <v>289</v>
      </c>
      <c r="L397" s="56">
        <f t="shared" si="26"/>
        <v>10.09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14.84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75014.84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90000</v>
      </c>
      <c r="H407" s="47">
        <f>H392+H400+H406</f>
        <v>18.11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90018.11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6598.51</v>
      </c>
      <c r="I414" s="18"/>
      <c r="J414" s="18"/>
      <c r="K414" s="18"/>
      <c r="L414" s="56">
        <f t="shared" si="27"/>
        <v>6598.51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6598.51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6598.51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>
        <v>53572</v>
      </c>
      <c r="I422" s="18"/>
      <c r="J422" s="18">
        <v>21428</v>
      </c>
      <c r="K422" s="18"/>
      <c r="L422" s="56">
        <f t="shared" si="29"/>
        <v>75000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53572</v>
      </c>
      <c r="I426" s="47">
        <f t="shared" si="30"/>
        <v>0</v>
      </c>
      <c r="J426" s="47">
        <f t="shared" si="30"/>
        <v>21428</v>
      </c>
      <c r="K426" s="47">
        <f t="shared" si="30"/>
        <v>0</v>
      </c>
      <c r="L426" s="47">
        <f t="shared" si="30"/>
        <v>75000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60170.51</v>
      </c>
      <c r="I433" s="47">
        <f t="shared" si="32"/>
        <v>0</v>
      </c>
      <c r="J433" s="47">
        <f t="shared" si="32"/>
        <v>21428</v>
      </c>
      <c r="K433" s="47">
        <f t="shared" si="32"/>
        <v>0</v>
      </c>
      <c r="L433" s="47">
        <f t="shared" si="32"/>
        <v>81598.509999999995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22618.65</v>
      </c>
      <c r="G441" s="18">
        <v>75590.52</v>
      </c>
      <c r="H441" s="18"/>
      <c r="I441" s="56">
        <f t="shared" si="33"/>
        <v>98209.170000000013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22618.65</v>
      </c>
      <c r="G445" s="13">
        <f>SUM(G438:G444)</f>
        <v>75590.52</v>
      </c>
      <c r="H445" s="13">
        <f>SUM(H438:H444)</f>
        <v>0</v>
      </c>
      <c r="I445" s="13">
        <f>SUM(I438:I444)</f>
        <v>98209.170000000013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22618.65</v>
      </c>
      <c r="G458" s="18">
        <v>75590.52</v>
      </c>
      <c r="H458" s="18"/>
      <c r="I458" s="56">
        <f t="shared" si="34"/>
        <v>98209.170000000013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22618.65</v>
      </c>
      <c r="G459" s="83">
        <f>SUM(G453:G458)</f>
        <v>75590.52</v>
      </c>
      <c r="H459" s="83">
        <f>SUM(H453:H458)</f>
        <v>0</v>
      </c>
      <c r="I459" s="83">
        <f>SUM(I453:I458)</f>
        <v>98209.170000000013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22618.65</v>
      </c>
      <c r="G460" s="42">
        <f>G451+G459</f>
        <v>75590.52</v>
      </c>
      <c r="H460" s="42">
        <f>H451+H459</f>
        <v>0</v>
      </c>
      <c r="I460" s="42">
        <f>I451+I459</f>
        <v>98209.170000000013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f>-54672.58+0.06</f>
        <v>-54672.520000000004</v>
      </c>
      <c r="G464" s="18">
        <v>8984.33</v>
      </c>
      <c r="H464" s="18">
        <v>145.71</v>
      </c>
      <c r="I464" s="18"/>
      <c r="J464" s="18">
        <v>89789.57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2947974.68-122053+38996.79</f>
        <v>2864918.47</v>
      </c>
      <c r="G467" s="18">
        <v>64466.06</v>
      </c>
      <c r="H467" s="18">
        <v>51579.91</v>
      </c>
      <c r="I467" s="18"/>
      <c r="J467" s="18">
        <v>90018.11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2864918.47</v>
      </c>
      <c r="G469" s="53">
        <f>SUM(G467:G468)</f>
        <v>64466.06</v>
      </c>
      <c r="H469" s="53">
        <f>SUM(H467:H468)</f>
        <v>51579.91</v>
      </c>
      <c r="I469" s="53">
        <f>SUM(I467:I468)</f>
        <v>0</v>
      </c>
      <c r="J469" s="53">
        <f>SUM(J467:J468)</f>
        <v>90018.11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2792154.11-122053+570+580+38996.79</f>
        <v>2710247.9</v>
      </c>
      <c r="G471" s="18">
        <v>70053.539999999994</v>
      </c>
      <c r="H471" s="18">
        <v>51579.91</v>
      </c>
      <c r="I471" s="18"/>
      <c r="J471" s="18">
        <v>81598.509999999995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2710247.9</v>
      </c>
      <c r="G473" s="53">
        <f>SUM(G471:G472)</f>
        <v>70053.539999999994</v>
      </c>
      <c r="H473" s="53">
        <f>SUM(H471:H472)</f>
        <v>51579.91</v>
      </c>
      <c r="I473" s="53">
        <f>SUM(I471:I472)</f>
        <v>0</v>
      </c>
      <c r="J473" s="53">
        <f>SUM(J471:J472)</f>
        <v>81598.509999999995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99998.050000000279</v>
      </c>
      <c r="G475" s="53">
        <f>(G464+G469)- G473</f>
        <v>3396.8500000000058</v>
      </c>
      <c r="H475" s="53">
        <f>(H464+H469)- H473</f>
        <v>145.70999999999913</v>
      </c>
      <c r="I475" s="53">
        <f>(I464+I469)- I473</f>
        <v>0</v>
      </c>
      <c r="J475" s="53">
        <f>(J464+J469)- J473</f>
        <v>98209.17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8</v>
      </c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180000</v>
      </c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3.5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36000</v>
      </c>
      <c r="G494" s="18"/>
      <c r="H494" s="18"/>
      <c r="I494" s="18"/>
      <c r="J494" s="18"/>
      <c r="K494" s="53">
        <f>SUM(F494:J494)</f>
        <v>36000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36000</v>
      </c>
      <c r="G496" s="18"/>
      <c r="H496" s="18"/>
      <c r="I496" s="18"/>
      <c r="J496" s="18"/>
      <c r="K496" s="53">
        <f t="shared" si="35"/>
        <v>36000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36000</v>
      </c>
      <c r="G497" s="204"/>
      <c r="H497" s="204"/>
      <c r="I497" s="204"/>
      <c r="J497" s="204"/>
      <c r="K497" s="205">
        <f t="shared" si="35"/>
        <v>36000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1260</v>
      </c>
      <c r="G498" s="18"/>
      <c r="H498" s="18"/>
      <c r="I498" s="18"/>
      <c r="J498" s="18"/>
      <c r="K498" s="53">
        <f t="shared" si="35"/>
        <v>1260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37260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37260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36000</v>
      </c>
      <c r="G500" s="204"/>
      <c r="H500" s="204"/>
      <c r="I500" s="204"/>
      <c r="J500" s="204"/>
      <c r="K500" s="205">
        <f t="shared" si="35"/>
        <v>36000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2520</v>
      </c>
      <c r="G501" s="18"/>
      <c r="H501" s="18"/>
      <c r="I501" s="18"/>
      <c r="J501" s="18"/>
      <c r="K501" s="53">
        <f t="shared" si="35"/>
        <v>2520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38520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38520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120516.87</v>
      </c>
      <c r="G520" s="18">
        <v>74106.41</v>
      </c>
      <c r="H520" s="18">
        <f>22828.2+10657.38+62047.78+2008.03-10657.38</f>
        <v>86884.01</v>
      </c>
      <c r="I520" s="18">
        <v>6727.85</v>
      </c>
      <c r="J520" s="18">
        <v>3364.45</v>
      </c>
      <c r="K520" s="18">
        <v>917.95</v>
      </c>
      <c r="L520" s="88">
        <f>SUM(F520:K520)</f>
        <v>292517.53999999998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56780.25+131750</f>
        <v>188530.25</v>
      </c>
      <c r="I522" s="18"/>
      <c r="J522" s="18"/>
      <c r="K522" s="18"/>
      <c r="L522" s="88">
        <f>SUM(F522:K522)</f>
        <v>188530.25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120516.87</v>
      </c>
      <c r="G523" s="108">
        <f t="shared" ref="G523:L523" si="36">SUM(G520:G522)</f>
        <v>74106.41</v>
      </c>
      <c r="H523" s="108">
        <f t="shared" si="36"/>
        <v>275414.26</v>
      </c>
      <c r="I523" s="108">
        <f t="shared" si="36"/>
        <v>6727.85</v>
      </c>
      <c r="J523" s="108">
        <f t="shared" si="36"/>
        <v>3364.45</v>
      </c>
      <c r="K523" s="108">
        <f t="shared" si="36"/>
        <v>917.95</v>
      </c>
      <c r="L523" s="89">
        <f t="shared" si="36"/>
        <v>481047.79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10657.38</v>
      </c>
      <c r="I540" s="18"/>
      <c r="J540" s="18"/>
      <c r="K540" s="18"/>
      <c r="L540" s="88">
        <f>SUM(F540:K540)</f>
        <v>10657.38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10657.38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10657.38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120516.87</v>
      </c>
      <c r="G544" s="89">
        <f t="shared" ref="G544:L544" si="41">G523+G528+G533+G538+G543</f>
        <v>74106.41</v>
      </c>
      <c r="H544" s="89">
        <f t="shared" si="41"/>
        <v>286071.64</v>
      </c>
      <c r="I544" s="89">
        <f t="shared" si="41"/>
        <v>6727.85</v>
      </c>
      <c r="J544" s="89">
        <f t="shared" si="41"/>
        <v>3364.45</v>
      </c>
      <c r="K544" s="89">
        <f t="shared" si="41"/>
        <v>917.95</v>
      </c>
      <c r="L544" s="89">
        <f t="shared" si="41"/>
        <v>491705.17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292517.53999999998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10657.38</v>
      </c>
      <c r="K548" s="87">
        <f>SUM(F548:J548)</f>
        <v>303174.92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188530.25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188530.25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481047.79</v>
      </c>
      <c r="G551" s="89">
        <f t="shared" si="42"/>
        <v>0</v>
      </c>
      <c r="H551" s="89">
        <f t="shared" si="42"/>
        <v>0</v>
      </c>
      <c r="I551" s="89">
        <f t="shared" si="42"/>
        <v>0</v>
      </c>
      <c r="J551" s="89">
        <f t="shared" si="42"/>
        <v>10657.38</v>
      </c>
      <c r="K551" s="89">
        <f t="shared" si="42"/>
        <v>491705.17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26388.2</v>
      </c>
      <c r="I574" s="87">
        <f>SUM(F574:H574)</f>
        <v>26388.2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f>458955+56119.75</f>
        <v>515074.75</v>
      </c>
      <c r="I575" s="87">
        <f t="shared" ref="I575:I586" si="47">SUM(F575:H575)</f>
        <v>515074.75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62047.78</v>
      </c>
      <c r="G578" s="18"/>
      <c r="H578" s="18"/>
      <c r="I578" s="87">
        <f t="shared" si="47"/>
        <v>62047.78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f>131750+56780.25</f>
        <v>188530.25</v>
      </c>
      <c r="I579" s="87">
        <f t="shared" si="47"/>
        <v>188530.25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43449.19+3766.82</f>
        <v>47216.01</v>
      </c>
      <c r="I590" s="18"/>
      <c r="J590" s="18">
        <f>53896.65+5125.8</f>
        <v>59022.450000000004</v>
      </c>
      <c r="K590" s="104">
        <f t="shared" ref="K590:K596" si="48">SUM(H590:J590)</f>
        <v>106238.46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10657.38</v>
      </c>
      <c r="I591" s="18"/>
      <c r="J591" s="18"/>
      <c r="K591" s="104">
        <f t="shared" si="48"/>
        <v>10657.38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1434.5</v>
      </c>
      <c r="I593" s="18"/>
      <c r="J593" s="18"/>
      <c r="K593" s="104">
        <f t="shared" si="48"/>
        <v>1434.5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2107.5</v>
      </c>
      <c r="I594" s="18"/>
      <c r="J594" s="18"/>
      <c r="K594" s="104">
        <f t="shared" si="48"/>
        <v>2107.5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61415.39</v>
      </c>
      <c r="I597" s="108">
        <f>SUM(I590:I596)</f>
        <v>0</v>
      </c>
      <c r="J597" s="108">
        <f>SUM(J590:J596)</f>
        <v>59022.450000000004</v>
      </c>
      <c r="K597" s="108">
        <f>SUM(K590:K596)</f>
        <v>120437.84000000001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87911.18</v>
      </c>
      <c r="I603" s="18"/>
      <c r="J603" s="18"/>
      <c r="K603" s="104">
        <f>SUM(H603:J603)</f>
        <v>87911.18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87911.18</v>
      </c>
      <c r="I604" s="108">
        <f>SUM(I601:I603)</f>
        <v>0</v>
      </c>
      <c r="J604" s="108">
        <f>SUM(J601:J603)</f>
        <v>0</v>
      </c>
      <c r="K604" s="108">
        <f>SUM(K601:K603)</f>
        <v>87911.18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160695.64000000001</v>
      </c>
      <c r="H616" s="109">
        <f>SUM(F51)</f>
        <v>160695.64000000001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3396.85</v>
      </c>
      <c r="H617" s="109">
        <f>SUM(G51)</f>
        <v>3396.85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145.71</v>
      </c>
      <c r="H618" s="109">
        <f>SUM(H51)</f>
        <v>145.71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98209.170000000013</v>
      </c>
      <c r="H620" s="109">
        <f>SUM(J51)</f>
        <v>98209.170000000013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99998.05</v>
      </c>
      <c r="H621" s="109">
        <f>F475</f>
        <v>99998.050000000279</v>
      </c>
      <c r="I621" s="121" t="s">
        <v>101</v>
      </c>
      <c r="J621" s="109">
        <f t="shared" ref="J621:J654" si="50">G621-H621</f>
        <v>-2.7648638933897018E-10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3396.85</v>
      </c>
      <c r="H622" s="109">
        <f>G475</f>
        <v>3396.8500000000058</v>
      </c>
      <c r="I622" s="121" t="s">
        <v>102</v>
      </c>
      <c r="J622" s="109">
        <f t="shared" si="50"/>
        <v>-5.9117155615240335E-12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145.71</v>
      </c>
      <c r="H623" s="109">
        <f>H475</f>
        <v>145.70999999999913</v>
      </c>
      <c r="I623" s="121" t="s">
        <v>103</v>
      </c>
      <c r="J623" s="109">
        <f t="shared" si="50"/>
        <v>8.8107299234252423E-13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98209.170000000013</v>
      </c>
      <c r="H625" s="109">
        <f>J475</f>
        <v>98209.17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2864918.47</v>
      </c>
      <c r="H626" s="104">
        <f>SUM(F467)</f>
        <v>2864918.47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64466.06</v>
      </c>
      <c r="H627" s="104">
        <f>SUM(G467)</f>
        <v>64466.06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51579.91</v>
      </c>
      <c r="H628" s="104">
        <f>SUM(H467)</f>
        <v>51579.91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90018.11</v>
      </c>
      <c r="H630" s="104">
        <f>SUM(J467)</f>
        <v>90018.11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2710247.9</v>
      </c>
      <c r="H631" s="104">
        <f>SUM(F471)</f>
        <v>2710247.9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51579.91</v>
      </c>
      <c r="H632" s="104">
        <f>SUM(H471)</f>
        <v>51579.91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21287.53</v>
      </c>
      <c r="H633" s="104">
        <f>I368</f>
        <v>21287.53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70053.539999999994</v>
      </c>
      <c r="H634" s="104">
        <f>SUM(G471)</f>
        <v>70053.539999999994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90018.11</v>
      </c>
      <c r="H636" s="164">
        <f>SUM(J467)</f>
        <v>90018.11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81598.509999999995</v>
      </c>
      <c r="H637" s="164">
        <f>SUM(J471)</f>
        <v>81598.509999999995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22618.65</v>
      </c>
      <c r="H638" s="104">
        <f>SUM(F460)</f>
        <v>22618.65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75590.52</v>
      </c>
      <c r="H639" s="104">
        <f>SUM(G460)</f>
        <v>75590.52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98209.170000000013</v>
      </c>
      <c r="H641" s="104">
        <f>SUM(I460)</f>
        <v>98209.170000000013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18.11</v>
      </c>
      <c r="H643" s="104">
        <f>H407</f>
        <v>18.11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90000</v>
      </c>
      <c r="H644" s="104">
        <f>G407</f>
        <v>90000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90018.11</v>
      </c>
      <c r="H645" s="104">
        <f>L407</f>
        <v>90018.11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120437.84000000001</v>
      </c>
      <c r="H646" s="104">
        <f>L207+L225+L243</f>
        <v>120437.84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87911.18</v>
      </c>
      <c r="H647" s="104">
        <f>(J256+J337)-(J254+J335)</f>
        <v>87911.180000000008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61415.39</v>
      </c>
      <c r="H648" s="104">
        <f>H597</f>
        <v>61415.39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59022.450000000004</v>
      </c>
      <c r="H650" s="104">
        <f>J597</f>
        <v>59022.450000000004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32053</v>
      </c>
      <c r="H651" s="104">
        <f>K262+K344</f>
        <v>32053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90000</v>
      </c>
      <c r="H654" s="104">
        <f>K265+K346</f>
        <v>90000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1875584.52</v>
      </c>
      <c r="G659" s="19">
        <f>(L228+L308+L358)</f>
        <v>0</v>
      </c>
      <c r="H659" s="19">
        <f>(L246+L327+L359)</f>
        <v>789015.64999999991</v>
      </c>
      <c r="I659" s="19">
        <f>SUM(F659:H659)</f>
        <v>2664600.17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14882.970000000001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14882.970000000001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61415.39</v>
      </c>
      <c r="G661" s="19">
        <f>(L225+L305)-(J225+J305)</f>
        <v>0</v>
      </c>
      <c r="H661" s="19">
        <f>(L243+L324)-(J243+J324)</f>
        <v>59022.450000000004</v>
      </c>
      <c r="I661" s="19">
        <f>SUM(F661:H661)</f>
        <v>120437.84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149958.96</v>
      </c>
      <c r="G662" s="199">
        <f>SUM(G574:G586)+SUM(I601:I603)+L611</f>
        <v>0</v>
      </c>
      <c r="H662" s="199">
        <f>SUM(H574:H586)+SUM(J601:J603)+L612</f>
        <v>729993.2</v>
      </c>
      <c r="I662" s="19">
        <f>SUM(F662:H662)</f>
        <v>879952.15999999992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1649327.2</v>
      </c>
      <c r="G663" s="19">
        <f>G659-SUM(G660:G662)</f>
        <v>0</v>
      </c>
      <c r="H663" s="19">
        <f>H659-SUM(H660:H662)</f>
        <v>0</v>
      </c>
      <c r="I663" s="19">
        <f>I659-SUM(I660:I662)</f>
        <v>1649327.2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68.3</v>
      </c>
      <c r="G664" s="248"/>
      <c r="H664" s="248"/>
      <c r="I664" s="19">
        <f>SUM(F664:H664)</f>
        <v>68.3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24148.28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24148.28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24148.28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24148.28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abSelected="1" topLeftCell="A4" workbookViewId="0">
      <selection activeCell="D10" sqref="D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Monroe School SAU 77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439220.85</v>
      </c>
      <c r="C9" s="229">
        <f>'DOE25'!G196+'DOE25'!G214+'DOE25'!G232+'DOE25'!G275+'DOE25'!G294+'DOE25'!G313</f>
        <v>186152.42</v>
      </c>
    </row>
    <row r="10" spans="1:3" x14ac:dyDescent="0.2">
      <c r="A10" t="s">
        <v>779</v>
      </c>
      <c r="B10" s="240">
        <f>439220.85-B12</f>
        <v>432790.13999999996</v>
      </c>
      <c r="C10" s="240">
        <v>185660.47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6430.71</v>
      </c>
      <c r="C12" s="240">
        <v>491.95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439220.85</v>
      </c>
      <c r="C13" s="231">
        <f>SUM(C10:C12)</f>
        <v>186152.42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141200.18</v>
      </c>
      <c r="C18" s="229">
        <f>'DOE25'!G197+'DOE25'!G215+'DOE25'!G233+'DOE25'!G276+'DOE25'!G295+'DOE25'!G314</f>
        <v>74106.41</v>
      </c>
    </row>
    <row r="19" spans="1:3" x14ac:dyDescent="0.2">
      <c r="A19" t="s">
        <v>779</v>
      </c>
      <c r="B19" s="240">
        <f>61016.69+1668.9+20683.31</f>
        <v>83368.900000000009</v>
      </c>
      <c r="C19" s="240">
        <v>45564.84</v>
      </c>
    </row>
    <row r="20" spans="1:3" x14ac:dyDescent="0.2">
      <c r="A20" t="s">
        <v>780</v>
      </c>
      <c r="B20" s="240">
        <f>51796.75+912.94</f>
        <v>52709.69</v>
      </c>
      <c r="C20" s="240">
        <v>28149.75</v>
      </c>
    </row>
    <row r="21" spans="1:3" x14ac:dyDescent="0.2">
      <c r="A21" t="s">
        <v>781</v>
      </c>
      <c r="B21" s="240">
        <v>5121.59</v>
      </c>
      <c r="C21" s="240">
        <v>391.82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141200.18000000002</v>
      </c>
      <c r="C22" s="231">
        <f>SUM(C19:C21)</f>
        <v>74106.41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2750</v>
      </c>
      <c r="C36" s="235">
        <f>'DOE25'!G199+'DOE25'!G217+'DOE25'!G235+'DOE25'!G278+'DOE25'!G297+'DOE25'!G316</f>
        <v>311.72000000000003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2750</v>
      </c>
      <c r="C39" s="240">
        <v>311.72000000000003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2750</v>
      </c>
      <c r="C40" s="231">
        <f>SUM(C37:C39)</f>
        <v>311.72000000000003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pane="bottomLeft" activeCell="C12" sqref="C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Monroe School SAU 77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1764339.29</v>
      </c>
      <c r="D5" s="20">
        <f>SUM('DOE25'!L196:L199)+SUM('DOE25'!L214:L217)+SUM('DOE25'!L232:L235)-F5-G5</f>
        <v>1685024.28</v>
      </c>
      <c r="E5" s="243"/>
      <c r="F5" s="255">
        <f>SUM('DOE25'!J196:J199)+SUM('DOE25'!J214:J217)+SUM('DOE25'!J232:J235)</f>
        <v>77012.160000000003</v>
      </c>
      <c r="G5" s="53">
        <f>SUM('DOE25'!K196:K199)+SUM('DOE25'!K214:K217)+SUM('DOE25'!K232:K235)</f>
        <v>2302.85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108574.27</v>
      </c>
      <c r="D6" s="20">
        <f>'DOE25'!L201+'DOE25'!L219+'DOE25'!L237-F6-G6</f>
        <v>106334.13</v>
      </c>
      <c r="E6" s="243"/>
      <c r="F6" s="255">
        <f>'DOE25'!J201+'DOE25'!J219+'DOE25'!J237</f>
        <v>0</v>
      </c>
      <c r="G6" s="53">
        <f>'DOE25'!K201+'DOE25'!K219+'DOE25'!K237</f>
        <v>2240.14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77857.81</v>
      </c>
      <c r="D7" s="20">
        <f>'DOE25'!L202+'DOE25'!L220+'DOE25'!L238-F7-G7</f>
        <v>77074.81</v>
      </c>
      <c r="E7" s="243"/>
      <c r="F7" s="255">
        <f>'DOE25'!J202+'DOE25'!J220+'DOE25'!J238</f>
        <v>783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139290.18</v>
      </c>
      <c r="D8" s="243"/>
      <c r="E8" s="20">
        <f>'DOE25'!L203+'DOE25'!L221+'DOE25'!L239-F8-G8-D9-D11</f>
        <v>129165.94</v>
      </c>
      <c r="F8" s="255">
        <f>'DOE25'!J203+'DOE25'!J221+'DOE25'!J239</f>
        <v>2724.77</v>
      </c>
      <c r="G8" s="53">
        <f>'DOE25'!K203+'DOE25'!K221+'DOE25'!K239</f>
        <v>7399.47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11253.82</v>
      </c>
      <c r="D9" s="244">
        <v>11253.82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7150</v>
      </c>
      <c r="D10" s="243"/>
      <c r="E10" s="244">
        <v>7150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116160.78</v>
      </c>
      <c r="D11" s="244">
        <v>116160.78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100789.41</v>
      </c>
      <c r="D12" s="20">
        <f>'DOE25'!L204+'DOE25'!L222+'DOE25'!L240-F12-G12</f>
        <v>100789.41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104263.32</v>
      </c>
      <c r="D14" s="20">
        <f>'DOE25'!L206+'DOE25'!L224+'DOE25'!L242-F14-G14</f>
        <v>103255.96</v>
      </c>
      <c r="E14" s="243"/>
      <c r="F14" s="255">
        <f>'DOE25'!J206+'DOE25'!J224+'DOE25'!J242</f>
        <v>207.36</v>
      </c>
      <c r="G14" s="53">
        <f>'DOE25'!K206+'DOE25'!K224+'DOE25'!K242</f>
        <v>800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120437.84</v>
      </c>
      <c r="D15" s="20">
        <f>'DOE25'!L207+'DOE25'!L225+'DOE25'!L243-F15-G15</f>
        <v>120437.84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9985</v>
      </c>
      <c r="D22" s="243"/>
      <c r="E22" s="243"/>
      <c r="F22" s="255">
        <f>'DOE25'!L254+'DOE25'!L335</f>
        <v>9985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35243.18</v>
      </c>
      <c r="D25" s="243"/>
      <c r="E25" s="243"/>
      <c r="F25" s="258"/>
      <c r="G25" s="256"/>
      <c r="H25" s="257">
        <f>'DOE25'!L259+'DOE25'!L260+'DOE25'!L340+'DOE25'!L341</f>
        <v>35243.18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51784.929999999993</v>
      </c>
      <c r="D29" s="20">
        <f>'DOE25'!L357+'DOE25'!L358+'DOE25'!L359-'DOE25'!I366-F29-G29</f>
        <v>51596.319999999992</v>
      </c>
      <c r="E29" s="243"/>
      <c r="F29" s="255">
        <f>'DOE25'!J357+'DOE25'!J358+'DOE25'!J359</f>
        <v>188.61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51579.91</v>
      </c>
      <c r="D31" s="20">
        <f>'DOE25'!L289+'DOE25'!L308+'DOE25'!L327+'DOE25'!L332+'DOE25'!L333+'DOE25'!L334-F31-G31</f>
        <v>44396.020000000004</v>
      </c>
      <c r="E31" s="243"/>
      <c r="F31" s="255">
        <f>'DOE25'!J289+'DOE25'!J308+'DOE25'!J327+'DOE25'!J332+'DOE25'!J333+'DOE25'!J334</f>
        <v>7183.89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2416323.37</v>
      </c>
      <c r="E33" s="246">
        <f>SUM(E5:E31)</f>
        <v>136315.94</v>
      </c>
      <c r="F33" s="246">
        <f>SUM(F5:F31)</f>
        <v>98084.790000000008</v>
      </c>
      <c r="G33" s="246">
        <f>SUM(G5:G31)</f>
        <v>12742.46</v>
      </c>
      <c r="H33" s="246">
        <f>SUM(H5:H31)</f>
        <v>35243.18</v>
      </c>
    </row>
    <row r="35" spans="2:8" ht="12" thickBot="1" x14ac:dyDescent="0.25">
      <c r="B35" s="253" t="s">
        <v>847</v>
      </c>
      <c r="D35" s="254">
        <f>E33</f>
        <v>136315.94</v>
      </c>
      <c r="E35" s="249"/>
    </row>
    <row r="36" spans="2:8" ht="12" thickTop="1" x14ac:dyDescent="0.2">
      <c r="B36" t="s">
        <v>815</v>
      </c>
      <c r="D36" s="20">
        <f>D33</f>
        <v>2416323.37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3"/>
  <sheetViews>
    <sheetView zoomScale="80" zoomScaleNormal="80" workbookViewId="0">
      <pane ySplit="2" topLeftCell="A48" activePane="bottomLeft" state="frozen"/>
      <selection pane="bottomLeft" activeCell="A101" sqref="A10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 School SAU 77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122072.89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-1167.6099999999999</v>
      </c>
      <c r="D11" s="95">
        <f>'DOE25'!G12</f>
        <v>1021.89</v>
      </c>
      <c r="E11" s="95">
        <f>'DOE25'!H12</f>
        <v>145.71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98209.170000000013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2374.96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39790.36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160695.64000000001</v>
      </c>
      <c r="D18" s="41">
        <f>SUM(D8:D17)</f>
        <v>3396.85</v>
      </c>
      <c r="E18" s="41">
        <f>SUM(E8:E17)</f>
        <v>145.71</v>
      </c>
      <c r="F18" s="41">
        <f>SUM(F8:F17)</f>
        <v>0</v>
      </c>
      <c r="G18" s="41">
        <f>SUM(G8:G17)</f>
        <v>98209.170000000013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24273.87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36423.72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60697.59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39790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3396.85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145.71</v>
      </c>
      <c r="F46" s="95">
        <f>'DOE25'!I47</f>
        <v>0</v>
      </c>
      <c r="G46" s="95">
        <f>'DOE25'!J47</f>
        <v>98209.170000000013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60208.05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99998.05</v>
      </c>
      <c r="D49" s="41">
        <f>SUM(D34:D48)</f>
        <v>3396.85</v>
      </c>
      <c r="E49" s="41">
        <f>SUM(E34:E48)</f>
        <v>145.71</v>
      </c>
      <c r="F49" s="41">
        <f>SUM(F34:F48)</f>
        <v>0</v>
      </c>
      <c r="G49" s="41">
        <f>SUM(G34:G48)</f>
        <v>98209.170000000013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160695.64000000001</v>
      </c>
      <c r="D50" s="41">
        <f>D49+D31</f>
        <v>3396.85</v>
      </c>
      <c r="E50" s="41">
        <f>E49+E31</f>
        <v>145.71</v>
      </c>
      <c r="F50" s="41">
        <f>F49+F31</f>
        <v>0</v>
      </c>
      <c r="G50" s="41">
        <f>G49+G31</f>
        <v>98209.170000000013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2394297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213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375.64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18.11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14882.970000000001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4740.6099999999997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5329.25</v>
      </c>
      <c r="D61" s="130">
        <f>SUM(D56:D60)</f>
        <v>14882.970000000001</v>
      </c>
      <c r="E61" s="130">
        <f>SUM(E56:E60)</f>
        <v>0</v>
      </c>
      <c r="F61" s="130">
        <f>SUM(F56:F60)</f>
        <v>0</v>
      </c>
      <c r="G61" s="130">
        <f>SUM(G56:G60)</f>
        <v>18.11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2399626.25</v>
      </c>
      <c r="D62" s="22">
        <f>D55+D61</f>
        <v>14882.970000000001</v>
      </c>
      <c r="E62" s="22">
        <f>E55+E61</f>
        <v>0</v>
      </c>
      <c r="F62" s="22">
        <f>F55+F61</f>
        <v>0</v>
      </c>
      <c r="G62" s="22">
        <f>G55+G61</f>
        <v>18.11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270707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194410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465117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331.4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331.4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465117</v>
      </c>
      <c r="D80" s="130">
        <f>SUM(D78:D79)+D77+D69</f>
        <v>331.4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17198.689999999999</v>
      </c>
      <c r="E87" s="95">
        <f>SUM('DOE25'!H152:H160)</f>
        <v>51579.91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175.22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175.22</v>
      </c>
      <c r="D90" s="131">
        <f>SUM(D84:D89)</f>
        <v>17198.689999999999</v>
      </c>
      <c r="E90" s="131">
        <f>SUM(E84:E89)</f>
        <v>51579.91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32053</v>
      </c>
      <c r="E95" s="95">
        <f>'DOE25'!H178</f>
        <v>0</v>
      </c>
      <c r="F95" s="95">
        <f>'DOE25'!I178</f>
        <v>0</v>
      </c>
      <c r="G95" s="95">
        <f>'DOE25'!J178</f>
        <v>90000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32053</v>
      </c>
      <c r="E102" s="86">
        <f>SUM(E92:E101)</f>
        <v>0</v>
      </c>
      <c r="F102" s="86">
        <f>SUM(F92:F101)</f>
        <v>0</v>
      </c>
      <c r="G102" s="86">
        <f>SUM(G92:G101)</f>
        <v>90000</v>
      </c>
    </row>
    <row r="103" spans="1:7" ht="12.75" thickTop="1" thickBot="1" x14ac:dyDescent="0.25">
      <c r="A103" s="33" t="s">
        <v>765</v>
      </c>
      <c r="C103" s="86">
        <f>C62+C80+C90+C102</f>
        <v>2864918.47</v>
      </c>
      <c r="D103" s="86">
        <f>D62+D80+D90+D102</f>
        <v>64466.06</v>
      </c>
      <c r="E103" s="86">
        <f>E62+E80+E90+E102</f>
        <v>51579.91</v>
      </c>
      <c r="F103" s="86">
        <f>F62+F80+F90+F102</f>
        <v>0</v>
      </c>
      <c r="G103" s="86">
        <f>G62+G80+G102</f>
        <v>90018.11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1276940.02</v>
      </c>
      <c r="D108" s="24" t="s">
        <v>289</v>
      </c>
      <c r="E108" s="95">
        <f>('DOE25'!L275)+('DOE25'!L294)+('DOE25'!L313)</f>
        <v>24123.84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481047.79</v>
      </c>
      <c r="D109" s="24" t="s">
        <v>289</v>
      </c>
      <c r="E109" s="95">
        <f>('DOE25'!L276)+('DOE25'!L295)+('DOE25'!L314)</f>
        <v>20683.310000000001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6351.4800000000005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1764339.29</v>
      </c>
      <c r="D114" s="86">
        <f>SUM(D108:D113)</f>
        <v>0</v>
      </c>
      <c r="E114" s="86">
        <f>SUM(E108:E113)</f>
        <v>44807.15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108574.27</v>
      </c>
      <c r="D117" s="24" t="s">
        <v>289</v>
      </c>
      <c r="E117" s="95">
        <f>+('DOE25'!L280)+('DOE25'!L299)+('DOE25'!L318)</f>
        <v>4916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77857.81</v>
      </c>
      <c r="D118" s="24" t="s">
        <v>289</v>
      </c>
      <c r="E118" s="95">
        <f>+('DOE25'!L281)+('DOE25'!L300)+('DOE25'!L319)</f>
        <v>1856.76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266704.78000000003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100789.41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104263.32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120437.84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70053.539999999994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778627.43</v>
      </c>
      <c r="D127" s="86">
        <f>SUM(D117:D126)</f>
        <v>70053.539999999994</v>
      </c>
      <c r="E127" s="86">
        <f>SUM(E117:E126)</f>
        <v>6772.76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9985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34890.75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352.43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32053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15003.27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75014.84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-18.110000000000582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167281.18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2710247.9000000004</v>
      </c>
      <c r="D144" s="86">
        <f>(D114+D127+D143)</f>
        <v>70053.539999999994</v>
      </c>
      <c r="E144" s="86">
        <f>(E114+E127+E143)</f>
        <v>51579.91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8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07-01-2009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07-01-2013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180000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3.5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36000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36000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36000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36000</v>
      </c>
    </row>
    <row r="158" spans="1:9" x14ac:dyDescent="0.2">
      <c r="A158" s="22" t="s">
        <v>35</v>
      </c>
      <c r="B158" s="137">
        <f>'DOE25'!F497</f>
        <v>36000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36000</v>
      </c>
    </row>
    <row r="159" spans="1:9" x14ac:dyDescent="0.2">
      <c r="A159" s="22" t="s">
        <v>36</v>
      </c>
      <c r="B159" s="137">
        <f>'DOE25'!F498</f>
        <v>1260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1260</v>
      </c>
    </row>
    <row r="160" spans="1:9" x14ac:dyDescent="0.2">
      <c r="A160" s="22" t="s">
        <v>37</v>
      </c>
      <c r="B160" s="137">
        <f>'DOE25'!F499</f>
        <v>37260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37260</v>
      </c>
    </row>
    <row r="161" spans="1:7" x14ac:dyDescent="0.2">
      <c r="A161" s="22" t="s">
        <v>38</v>
      </c>
      <c r="B161" s="137">
        <f>'DOE25'!F500</f>
        <v>36000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36000</v>
      </c>
    </row>
    <row r="162" spans="1:7" x14ac:dyDescent="0.2">
      <c r="A162" s="22" t="s">
        <v>39</v>
      </c>
      <c r="B162" s="137">
        <f>'DOE25'!F501</f>
        <v>2520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2520</v>
      </c>
    </row>
    <row r="163" spans="1:7" x14ac:dyDescent="0.2">
      <c r="A163" s="22" t="s">
        <v>246</v>
      </c>
      <c r="B163" s="137">
        <f>'DOE25'!F502</f>
        <v>38520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38520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32" sqref="C3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Monroe School SAU 77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24148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24148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1301064</v>
      </c>
      <c r="D10" s="182">
        <f>ROUND((C10/$C$28)*100,1)</f>
        <v>49.1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501731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6351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113490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79715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266705</v>
      </c>
      <c r="D17" s="182">
        <f t="shared" si="0"/>
        <v>10.1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100789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104263</v>
      </c>
      <c r="D20" s="182">
        <f t="shared" si="0"/>
        <v>3.9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120438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352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55171.03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2650069.0299999998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9985</v>
      </c>
    </row>
    <row r="30" spans="1:4" x14ac:dyDescent="0.2">
      <c r="B30" s="187" t="s">
        <v>729</v>
      </c>
      <c r="C30" s="180">
        <f>SUM(C28:C29)</f>
        <v>2660054.0299999998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34891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2394297</v>
      </c>
      <c r="D35" s="182">
        <f t="shared" ref="D35:D40" si="1">ROUND((C35/$C$41)*100,1)</f>
        <v>81.599999999999994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5347.3599999998696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465117</v>
      </c>
      <c r="D37" s="182">
        <f t="shared" si="1"/>
        <v>15.9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331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68954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2934046.36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Monroe School SAU 77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2" t="s">
        <v>848</v>
      </c>
      <c r="B72" s="282"/>
      <c r="C72" s="282"/>
      <c r="D72" s="282"/>
      <c r="E72" s="28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IP39:IV39"/>
    <mergeCell ref="HP39:HZ39"/>
    <mergeCell ref="IC39:IM39"/>
    <mergeCell ref="HP40:HZ40"/>
    <mergeCell ref="IC40:IM40"/>
    <mergeCell ref="GC39:GM39"/>
    <mergeCell ref="FP40:FZ40"/>
    <mergeCell ref="DC40:DM40"/>
    <mergeCell ref="DP40:DZ40"/>
    <mergeCell ref="FC40:FM40"/>
    <mergeCell ref="EC40:EM40"/>
    <mergeCell ref="HC39:HM39"/>
    <mergeCell ref="HC40:HM40"/>
    <mergeCell ref="DP39:DZ39"/>
    <mergeCell ref="EC39:EM39"/>
    <mergeCell ref="GC40:GM40"/>
    <mergeCell ref="EP40:EZ40"/>
    <mergeCell ref="GP39:GZ39"/>
    <mergeCell ref="GP40:GZ40"/>
    <mergeCell ref="IP40:IV40"/>
    <mergeCell ref="CC40:CM40"/>
    <mergeCell ref="DC39:DM39"/>
    <mergeCell ref="EP38:EZ38"/>
    <mergeCell ref="FC38:FM38"/>
    <mergeCell ref="FP38:FZ38"/>
    <mergeCell ref="EP39:EZ39"/>
    <mergeCell ref="FC39:FM39"/>
    <mergeCell ref="FP39:FZ39"/>
    <mergeCell ref="DC38:DM38"/>
    <mergeCell ref="EC38:EM38"/>
    <mergeCell ref="CC39:CM39"/>
    <mergeCell ref="CP39:CZ39"/>
    <mergeCell ref="IP38:IV38"/>
    <mergeCell ref="HP32:HZ32"/>
    <mergeCell ref="FP32:FZ32"/>
    <mergeCell ref="GC32:GM32"/>
    <mergeCell ref="HC32:HM32"/>
    <mergeCell ref="GP32:GZ32"/>
    <mergeCell ref="P40:Z40"/>
    <mergeCell ref="AP40:AZ40"/>
    <mergeCell ref="BP40:BZ40"/>
    <mergeCell ref="AC40:AM40"/>
    <mergeCell ref="BC40:BM40"/>
    <mergeCell ref="CP40:CZ40"/>
    <mergeCell ref="AC38:AM38"/>
    <mergeCell ref="AP38:AZ38"/>
    <mergeCell ref="DP32:DZ32"/>
    <mergeCell ref="AC32:AM32"/>
    <mergeCell ref="AP32:AZ32"/>
    <mergeCell ref="P39:Z39"/>
    <mergeCell ref="AC39:AM39"/>
    <mergeCell ref="DP38:DZ38"/>
    <mergeCell ref="CP38:CZ38"/>
    <mergeCell ref="CC38:CM38"/>
    <mergeCell ref="AP39:AZ39"/>
    <mergeCell ref="P38:Z38"/>
    <mergeCell ref="IC38:IM38"/>
    <mergeCell ref="HP38:HZ38"/>
    <mergeCell ref="DC29:DM29"/>
    <mergeCell ref="FP29:FZ29"/>
    <mergeCell ref="FC29:FM29"/>
    <mergeCell ref="EC29:EM29"/>
    <mergeCell ref="EP29:EZ29"/>
    <mergeCell ref="DP29:DZ29"/>
    <mergeCell ref="GC31:GM31"/>
    <mergeCell ref="FP30:FZ30"/>
    <mergeCell ref="HC38:HM38"/>
    <mergeCell ref="GP38:GZ38"/>
    <mergeCell ref="GC38:GM38"/>
    <mergeCell ref="GC30:GM30"/>
    <mergeCell ref="FP31:FZ31"/>
    <mergeCell ref="IC31:IM31"/>
    <mergeCell ref="GP31:GZ31"/>
    <mergeCell ref="GP30:GZ30"/>
    <mergeCell ref="IC30:IM30"/>
    <mergeCell ref="HP31:HZ31"/>
    <mergeCell ref="HP30:HZ30"/>
    <mergeCell ref="HC30:HM30"/>
    <mergeCell ref="HC31:HM31"/>
    <mergeCell ref="EC32:EM32"/>
    <mergeCell ref="IP29:IV29"/>
    <mergeCell ref="GP29:GZ29"/>
    <mergeCell ref="IC29:IM29"/>
    <mergeCell ref="FC32:FM32"/>
    <mergeCell ref="HC29:HM29"/>
    <mergeCell ref="FC30:FM30"/>
    <mergeCell ref="GC29:GM29"/>
    <mergeCell ref="HP29:HZ29"/>
    <mergeCell ref="FC31:FM31"/>
    <mergeCell ref="IC32:IM32"/>
    <mergeCell ref="IP31:IV31"/>
    <mergeCell ref="IP30:IV30"/>
    <mergeCell ref="IP32:IV32"/>
    <mergeCell ref="EP32:EZ32"/>
    <mergeCell ref="BP39:BZ39"/>
    <mergeCell ref="AP30:AZ30"/>
    <mergeCell ref="AP31:AZ31"/>
    <mergeCell ref="EP31:EZ31"/>
    <mergeCell ref="EC30:EM30"/>
    <mergeCell ref="CC30:CM30"/>
    <mergeCell ref="DC31:DM31"/>
    <mergeCell ref="CC32:CM32"/>
    <mergeCell ref="BP38:BZ38"/>
    <mergeCell ref="BC38:BM38"/>
    <mergeCell ref="BC31:BM31"/>
    <mergeCell ref="BP31:BZ31"/>
    <mergeCell ref="BP30:BZ30"/>
    <mergeCell ref="CC31:CM31"/>
    <mergeCell ref="BC39:BM39"/>
    <mergeCell ref="DP30:DZ30"/>
    <mergeCell ref="EP30:EZ30"/>
    <mergeCell ref="BC32:BM32"/>
    <mergeCell ref="BC30:BM30"/>
    <mergeCell ref="EC31:EM31"/>
    <mergeCell ref="BP32:BZ32"/>
    <mergeCell ref="CP32:CZ32"/>
    <mergeCell ref="DC32:DM32"/>
    <mergeCell ref="C22:M22"/>
    <mergeCell ref="C23:M23"/>
    <mergeCell ref="C24:M24"/>
    <mergeCell ref="C26:M26"/>
    <mergeCell ref="C31:M31"/>
    <mergeCell ref="AP29:AZ29"/>
    <mergeCell ref="DP31:DZ31"/>
    <mergeCell ref="CP30:CZ30"/>
    <mergeCell ref="BC29:BM29"/>
    <mergeCell ref="DC30:DM30"/>
    <mergeCell ref="BP29:BZ29"/>
    <mergeCell ref="CP31:CZ31"/>
    <mergeCell ref="CC29:CM29"/>
    <mergeCell ref="CP29:CZ29"/>
    <mergeCell ref="C29:M29"/>
    <mergeCell ref="P31:Z31"/>
    <mergeCell ref="AC29:AM29"/>
    <mergeCell ref="P29:Z29"/>
    <mergeCell ref="C25:M25"/>
    <mergeCell ref="C27:M27"/>
    <mergeCell ref="C28:M28"/>
    <mergeCell ref="C30:M30"/>
    <mergeCell ref="AC30:AM30"/>
    <mergeCell ref="A1:I1"/>
    <mergeCell ref="C3:M3"/>
    <mergeCell ref="C4:M4"/>
    <mergeCell ref="F2:I2"/>
    <mergeCell ref="A2:E2"/>
    <mergeCell ref="C14:M14"/>
    <mergeCell ref="C13:M13"/>
    <mergeCell ref="C17:M17"/>
    <mergeCell ref="C21:M21"/>
    <mergeCell ref="C16:M16"/>
    <mergeCell ref="C9:M9"/>
    <mergeCell ref="C10:M10"/>
    <mergeCell ref="C18:M18"/>
    <mergeCell ref="C5:M5"/>
    <mergeCell ref="C6:M6"/>
    <mergeCell ref="C7:M7"/>
    <mergeCell ref="C12:M12"/>
    <mergeCell ref="C11:M11"/>
    <mergeCell ref="C8:M8"/>
    <mergeCell ref="C15:M15"/>
    <mergeCell ref="C19:M19"/>
    <mergeCell ref="C20:M20"/>
    <mergeCell ref="P32:Z32"/>
    <mergeCell ref="AC31:AM31"/>
    <mergeCell ref="P30:Z30"/>
    <mergeCell ref="C62:M62"/>
    <mergeCell ref="C38:M38"/>
    <mergeCell ref="C39:M39"/>
    <mergeCell ref="C40:M40"/>
    <mergeCell ref="C52:M52"/>
    <mergeCell ref="C46:M46"/>
    <mergeCell ref="C44:M44"/>
    <mergeCell ref="C45:M45"/>
    <mergeCell ref="C43:M43"/>
    <mergeCell ref="C50:M50"/>
    <mergeCell ref="C48:M48"/>
    <mergeCell ref="C49:M49"/>
    <mergeCell ref="C42:M42"/>
    <mergeCell ref="C41:M41"/>
    <mergeCell ref="C36:M36"/>
    <mergeCell ref="C33:M33"/>
    <mergeCell ref="C34:M34"/>
    <mergeCell ref="C35:M35"/>
    <mergeCell ref="C37:M37"/>
    <mergeCell ref="C32:M32"/>
    <mergeCell ref="C63:M63"/>
    <mergeCell ref="C51:M51"/>
    <mergeCell ref="C53:M53"/>
    <mergeCell ref="C47:M47"/>
    <mergeCell ref="C61:M61"/>
    <mergeCell ref="C54:M54"/>
    <mergeCell ref="C58:M58"/>
    <mergeCell ref="C57:M57"/>
    <mergeCell ref="C59:M59"/>
    <mergeCell ref="C60:M60"/>
    <mergeCell ref="C56:M56"/>
    <mergeCell ref="C55:M55"/>
    <mergeCell ref="A72:E72"/>
    <mergeCell ref="C64:M64"/>
    <mergeCell ref="C80:M80"/>
    <mergeCell ref="C75:M75"/>
    <mergeCell ref="C73:M73"/>
    <mergeCell ref="C84:M84"/>
    <mergeCell ref="C82:M82"/>
    <mergeCell ref="C65:M65"/>
    <mergeCell ref="C81:M81"/>
    <mergeCell ref="C76:M76"/>
    <mergeCell ref="C66:M66"/>
    <mergeCell ref="C79:M79"/>
    <mergeCell ref="C70:M70"/>
    <mergeCell ref="C67:M67"/>
    <mergeCell ref="C68:M68"/>
    <mergeCell ref="C69:M69"/>
    <mergeCell ref="C89:M89"/>
    <mergeCell ref="C83:M83"/>
    <mergeCell ref="C90:M90"/>
    <mergeCell ref="C87:M87"/>
    <mergeCell ref="C88:M88"/>
    <mergeCell ref="C85:M85"/>
    <mergeCell ref="C86:M86"/>
    <mergeCell ref="C74:M74"/>
    <mergeCell ref="C77:M77"/>
    <mergeCell ref="C78:M7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2013-10-07T15:40:49Z</cp:lastPrinted>
  <dcterms:created xsi:type="dcterms:W3CDTF">1997-12-04T19:04:30Z</dcterms:created>
  <dcterms:modified xsi:type="dcterms:W3CDTF">2013-10-07T15:42:29Z</dcterms:modified>
</cp:coreProperties>
</file>