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C9" i="12" l="1"/>
  <c r="B9" i="12"/>
  <c r="D11" i="13" l="1"/>
  <c r="E10" i="13"/>
  <c r="B13" i="12"/>
  <c r="G612" i="1"/>
  <c r="G611" i="1" s="1"/>
  <c r="G613" i="1" s="1"/>
  <c r="F612" i="1"/>
  <c r="F611" i="1" s="1"/>
  <c r="F613" i="1" s="1"/>
  <c r="G439" i="1"/>
  <c r="J464" i="1"/>
  <c r="J471" i="1"/>
  <c r="J467" i="1"/>
  <c r="J469" i="1"/>
  <c r="J95" i="1"/>
  <c r="G58" i="2"/>
  <c r="G61" i="2" s="1"/>
  <c r="H243" i="1"/>
  <c r="H233" i="1"/>
  <c r="H225" i="1"/>
  <c r="H215" i="1"/>
  <c r="H207" i="1"/>
  <c r="L207" i="1" s="1"/>
  <c r="H197" i="1"/>
  <c r="L197" i="1" s="1"/>
  <c r="C109" i="2" s="1"/>
  <c r="J594" i="1"/>
  <c r="J597" i="1" s="1"/>
  <c r="H650" i="1" s="1"/>
  <c r="I594" i="1"/>
  <c r="H594" i="1"/>
  <c r="G562" i="1"/>
  <c r="G561" i="1"/>
  <c r="G532" i="1"/>
  <c r="G531" i="1"/>
  <c r="L521" i="1" s="1"/>
  <c r="G530" i="1"/>
  <c r="F532" i="1"/>
  <c r="F530" i="1"/>
  <c r="F531" i="1" s="1"/>
  <c r="F533" i="1" s="1"/>
  <c r="H528" i="1"/>
  <c r="I523" i="1"/>
  <c r="K523" i="1"/>
  <c r="G22" i="1"/>
  <c r="G47" i="1"/>
  <c r="D46" i="2" s="1"/>
  <c r="G96" i="1"/>
  <c r="F196" i="1"/>
  <c r="F498" i="1"/>
  <c r="F497" i="1"/>
  <c r="I394" i="1"/>
  <c r="L394" i="1"/>
  <c r="J109" i="1"/>
  <c r="G314" i="1"/>
  <c r="L314" i="1" s="1"/>
  <c r="G294" i="1"/>
  <c r="G275" i="1"/>
  <c r="G289" i="1"/>
  <c r="F294" i="1"/>
  <c r="F275" i="1"/>
  <c r="F289" i="1" s="1"/>
  <c r="H275" i="1"/>
  <c r="H158" i="1"/>
  <c r="E87" i="2"/>
  <c r="I359" i="1"/>
  <c r="H366" i="1"/>
  <c r="H368" i="1" s="1"/>
  <c r="I357" i="1"/>
  <c r="F366" i="1" s="1"/>
  <c r="H359" i="1"/>
  <c r="H357" i="1"/>
  <c r="H358" i="1"/>
  <c r="G157" i="1"/>
  <c r="G50" i="1"/>
  <c r="G622" i="1" s="1"/>
  <c r="K239" i="1"/>
  <c r="L239" i="1" s="1"/>
  <c r="K221" i="1"/>
  <c r="K203" i="1"/>
  <c r="K235" i="1"/>
  <c r="L235" i="1" s="1"/>
  <c r="G5" i="13"/>
  <c r="K217" i="1"/>
  <c r="G196" i="1"/>
  <c r="F109" i="1"/>
  <c r="F56" i="1"/>
  <c r="F29" i="1"/>
  <c r="C23" i="2" s="1"/>
  <c r="C37" i="10"/>
  <c r="F40" i="2"/>
  <c r="D39" i="2"/>
  <c r="G654" i="1"/>
  <c r="F47" i="2"/>
  <c r="E47" i="2"/>
  <c r="D47" i="2"/>
  <c r="C47" i="2"/>
  <c r="F46" i="2"/>
  <c r="E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L203" i="1"/>
  <c r="L221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L198" i="1"/>
  <c r="L199" i="1"/>
  <c r="L214" i="1"/>
  <c r="L215" i="1"/>
  <c r="L216" i="1"/>
  <c r="L217" i="1"/>
  <c r="L232" i="1"/>
  <c r="L233" i="1"/>
  <c r="L234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25" i="1"/>
  <c r="L243" i="1"/>
  <c r="G650" i="1" s="1"/>
  <c r="F17" i="13"/>
  <c r="G17" i="13"/>
  <c r="L250" i="1"/>
  <c r="C113" i="2" s="1"/>
  <c r="F18" i="13"/>
  <c r="G18" i="13"/>
  <c r="L251" i="1"/>
  <c r="F19" i="13"/>
  <c r="G19" i="13"/>
  <c r="L252" i="1"/>
  <c r="F29" i="13"/>
  <c r="G29" i="13"/>
  <c r="L357" i="1"/>
  <c r="J289" i="1"/>
  <c r="J308" i="1"/>
  <c r="J327" i="1"/>
  <c r="K289" i="1"/>
  <c r="K308" i="1"/>
  <c r="K327" i="1"/>
  <c r="L275" i="1"/>
  <c r="L276" i="1"/>
  <c r="L277" i="1"/>
  <c r="L278" i="1"/>
  <c r="L280" i="1"/>
  <c r="C15" i="10" s="1"/>
  <c r="L281" i="1"/>
  <c r="L282" i="1"/>
  <c r="L283" i="1"/>
  <c r="L284" i="1"/>
  <c r="L285" i="1"/>
  <c r="L286" i="1"/>
  <c r="L287" i="1"/>
  <c r="L295" i="1"/>
  <c r="L296" i="1"/>
  <c r="C12" i="10" s="1"/>
  <c r="L297" i="1"/>
  <c r="L299" i="1"/>
  <c r="L300" i="1"/>
  <c r="L301" i="1"/>
  <c r="L302" i="1"/>
  <c r="L303" i="1"/>
  <c r="L304" i="1"/>
  <c r="L305" i="1"/>
  <c r="L306" i="1"/>
  <c r="L313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C32" i="10" s="1"/>
  <c r="L341" i="1"/>
  <c r="L254" i="1"/>
  <c r="L335" i="1"/>
  <c r="C11" i="13"/>
  <c r="C10" i="13"/>
  <c r="C9" i="13"/>
  <c r="L360" i="1"/>
  <c r="B4" i="12"/>
  <c r="B36" i="12"/>
  <c r="C36" i="12"/>
  <c r="B40" i="12"/>
  <c r="C40" i="12"/>
  <c r="A40" i="12" s="1"/>
  <c r="B27" i="12"/>
  <c r="C27" i="12"/>
  <c r="B31" i="12"/>
  <c r="C31" i="12"/>
  <c r="B18" i="12"/>
  <c r="B22" i="12"/>
  <c r="A22" i="12" s="1"/>
  <c r="B1" i="12"/>
  <c r="L386" i="1"/>
  <c r="L387" i="1"/>
  <c r="L388" i="1"/>
  <c r="L389" i="1"/>
  <c r="L390" i="1"/>
  <c r="L391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62" i="2" s="1"/>
  <c r="G60" i="2"/>
  <c r="F2" i="11"/>
  <c r="L612" i="1"/>
  <c r="H662" i="1" s="1"/>
  <c r="L610" i="1"/>
  <c r="F662" i="1"/>
  <c r="C40" i="10"/>
  <c r="F59" i="1"/>
  <c r="C55" i="2" s="1"/>
  <c r="C62" i="2" s="1"/>
  <c r="G59" i="1"/>
  <c r="H59" i="1"/>
  <c r="I59" i="1"/>
  <c r="F78" i="1"/>
  <c r="F93" i="1"/>
  <c r="F110" i="1"/>
  <c r="G110" i="1"/>
  <c r="H78" i="1"/>
  <c r="H93" i="1"/>
  <c r="H110" i="1"/>
  <c r="I110" i="1"/>
  <c r="I111" i="1"/>
  <c r="F120" i="1"/>
  <c r="F135" i="1"/>
  <c r="F139" i="1" s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9" i="10"/>
  <c r="L249" i="1"/>
  <c r="C23" i="10" s="1"/>
  <c r="L331" i="1"/>
  <c r="L253" i="1"/>
  <c r="C25" i="10"/>
  <c r="L267" i="1"/>
  <c r="L268" i="1"/>
  <c r="L348" i="1"/>
  <c r="L349" i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5" i="1"/>
  <c r="G548" i="1" s="1"/>
  <c r="L526" i="1"/>
  <c r="G549" i="1" s="1"/>
  <c r="L527" i="1"/>
  <c r="G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L269" i="1" s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C31" i="2" s="1"/>
  <c r="D21" i="2"/>
  <c r="E21" i="2"/>
  <c r="F21" i="2"/>
  <c r="I447" i="1"/>
  <c r="J22" i="1"/>
  <c r="C22" i="2"/>
  <c r="D22" i="2"/>
  <c r="E22" i="2"/>
  <c r="F22" i="2"/>
  <c r="I448" i="1"/>
  <c r="J23" i="1"/>
  <c r="G22" i="2" s="1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G42" i="2" s="1"/>
  <c r="I456" i="1"/>
  <c r="J37" i="1"/>
  <c r="G36" i="2" s="1"/>
  <c r="I458" i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E111" i="2"/>
  <c r="C112" i="2"/>
  <c r="E112" i="2"/>
  <c r="E113" i="2"/>
  <c r="D114" i="2"/>
  <c r="F114" i="2"/>
  <c r="G114" i="2"/>
  <c r="C117" i="2"/>
  <c r="E117" i="2"/>
  <c r="E119" i="2"/>
  <c r="E120" i="2"/>
  <c r="C121" i="2"/>
  <c r="E121" i="2"/>
  <c r="E122" i="2"/>
  <c r="E123" i="2"/>
  <c r="C124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19" i="1"/>
  <c r="G617" i="1" s="1"/>
  <c r="H19" i="1"/>
  <c r="G618" i="1" s="1"/>
  <c r="I19" i="1"/>
  <c r="F32" i="1"/>
  <c r="G32" i="1"/>
  <c r="H32" i="1"/>
  <c r="I32" i="1"/>
  <c r="F50" i="1"/>
  <c r="G621" i="1" s="1"/>
  <c r="J621" i="1" s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H289" i="1"/>
  <c r="I289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K336" i="1"/>
  <c r="K337" i="1"/>
  <c r="K351" i="1" s="1"/>
  <c r="F361" i="1"/>
  <c r="G361" i="1"/>
  <c r="J361" i="1"/>
  <c r="K361" i="1"/>
  <c r="I367" i="1"/>
  <c r="L380" i="1"/>
  <c r="L381" i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H407" i="1"/>
  <c r="H643" i="1" s="1"/>
  <c r="I400" i="1"/>
  <c r="F406" i="1"/>
  <c r="G406" i="1"/>
  <c r="H406" i="1"/>
  <c r="I406" i="1"/>
  <c r="F407" i="1"/>
  <c r="G407" i="1"/>
  <c r="H644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/>
  <c r="G445" i="1"/>
  <c r="G639" i="1"/>
  <c r="H445" i="1"/>
  <c r="F451" i="1"/>
  <c r="F460" i="1" s="1"/>
  <c r="H638" i="1" s="1"/>
  <c r="G451" i="1"/>
  <c r="H451" i="1"/>
  <c r="H460" i="1" s="1"/>
  <c r="H640" i="1" s="1"/>
  <c r="I451" i="1"/>
  <c r="F459" i="1"/>
  <c r="G459" i="1"/>
  <c r="G460" i="1"/>
  <c r="H639" i="1" s="1"/>
  <c r="H459" i="1"/>
  <c r="F469" i="1"/>
  <c r="G469" i="1"/>
  <c r="H469" i="1"/>
  <c r="I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H523" i="1"/>
  <c r="J523" i="1"/>
  <c r="F528" i="1"/>
  <c r="G528" i="1"/>
  <c r="I528" i="1"/>
  <c r="J528" i="1"/>
  <c r="K528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G570" i="1" s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H649" i="1"/>
  <c r="K601" i="1"/>
  <c r="K602" i="1"/>
  <c r="K603" i="1"/>
  <c r="K604" i="1"/>
  <c r="G647" i="1" s="1"/>
  <c r="H604" i="1"/>
  <c r="I604" i="1"/>
  <c r="J604" i="1"/>
  <c r="H613" i="1"/>
  <c r="I613" i="1"/>
  <c r="J613" i="1"/>
  <c r="K613" i="1"/>
  <c r="G616" i="1"/>
  <c r="G619" i="1"/>
  <c r="J619" i="1" s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40" i="1"/>
  <c r="J640" i="1" s="1"/>
  <c r="G642" i="1"/>
  <c r="H642" i="1"/>
  <c r="G644" i="1"/>
  <c r="G649" i="1"/>
  <c r="G651" i="1"/>
  <c r="H651" i="1"/>
  <c r="G652" i="1"/>
  <c r="J652" i="1" s="1"/>
  <c r="H652" i="1"/>
  <c r="G653" i="1"/>
  <c r="H653" i="1"/>
  <c r="H654" i="1"/>
  <c r="F191" i="1"/>
  <c r="C18" i="2"/>
  <c r="F31" i="2"/>
  <c r="C26" i="10"/>
  <c r="L350" i="1"/>
  <c r="A31" i="12"/>
  <c r="C69" i="2"/>
  <c r="D61" i="2"/>
  <c r="D62" i="2"/>
  <c r="E49" i="2"/>
  <c r="D18" i="13"/>
  <c r="C18" i="13" s="1"/>
  <c r="F102" i="2"/>
  <c r="E18" i="2"/>
  <c r="D17" i="13"/>
  <c r="C17" i="13" s="1"/>
  <c r="G158" i="2"/>
  <c r="C90" i="2"/>
  <c r="F77" i="2"/>
  <c r="F61" i="2"/>
  <c r="F62" i="2"/>
  <c r="D31" i="2"/>
  <c r="C77" i="2"/>
  <c r="C80" i="2" s="1"/>
  <c r="F49" i="2"/>
  <c r="F50" i="2" s="1"/>
  <c r="F18" i="2"/>
  <c r="G157" i="2"/>
  <c r="G155" i="2"/>
  <c r="G102" i="2"/>
  <c r="E102" i="2"/>
  <c r="C102" i="2"/>
  <c r="F90" i="2"/>
  <c r="E61" i="2"/>
  <c r="E62" i="2"/>
  <c r="C61" i="2"/>
  <c r="E31" i="2"/>
  <c r="E50" i="2" s="1"/>
  <c r="E13" i="13"/>
  <c r="C13" i="13" s="1"/>
  <c r="E77" i="2"/>
  <c r="E80" i="2" s="1"/>
  <c r="H111" i="1"/>
  <c r="J570" i="1"/>
  <c r="K570" i="1"/>
  <c r="L432" i="1"/>
  <c r="L418" i="1"/>
  <c r="I168" i="1"/>
  <c r="J642" i="1"/>
  <c r="F475" i="1"/>
  <c r="H621" i="1"/>
  <c r="I475" i="1"/>
  <c r="H624" i="1"/>
  <c r="J624" i="1" s="1"/>
  <c r="F168" i="1"/>
  <c r="J139" i="1"/>
  <c r="C29" i="10"/>
  <c r="H139" i="1"/>
  <c r="L392" i="1"/>
  <c r="F22" i="13"/>
  <c r="C22" i="13" s="1"/>
  <c r="H25" i="13"/>
  <c r="C25" i="13" s="1"/>
  <c r="H570" i="1"/>
  <c r="L559" i="1"/>
  <c r="J544" i="1"/>
  <c r="G191" i="1"/>
  <c r="H191" i="1"/>
  <c r="E16" i="13"/>
  <c r="C16" i="13"/>
  <c r="L569" i="1"/>
  <c r="I570" i="1"/>
  <c r="C137" i="2"/>
  <c r="G31" i="13"/>
  <c r="L406" i="1"/>
  <c r="C139" i="2"/>
  <c r="I191" i="1"/>
  <c r="J653" i="1"/>
  <c r="J433" i="1"/>
  <c r="F433" i="1"/>
  <c r="K433" i="1"/>
  <c r="G133" i="2"/>
  <c r="G143" i="2" s="1"/>
  <c r="G144" i="2" s="1"/>
  <c r="F31" i="13"/>
  <c r="G168" i="1"/>
  <c r="G139" i="1"/>
  <c r="D102" i="2"/>
  <c r="I139" i="1"/>
  <c r="I192" i="1" s="1"/>
  <c r="G629" i="1" s="1"/>
  <c r="J629" i="1" s="1"/>
  <c r="J651" i="1"/>
  <c r="I433" i="1"/>
  <c r="G433" i="1"/>
  <c r="G256" i="1"/>
  <c r="G270" i="1"/>
  <c r="F256" i="1"/>
  <c r="F270" i="1"/>
  <c r="L196" i="1"/>
  <c r="C108" i="2"/>
  <c r="F111" i="1"/>
  <c r="F192" i="1" s="1"/>
  <c r="G626" i="1" s="1"/>
  <c r="J626" i="1" s="1"/>
  <c r="C35" i="10"/>
  <c r="C49" i="2"/>
  <c r="F51" i="1"/>
  <c r="H616" i="1" s="1"/>
  <c r="J616" i="1" s="1"/>
  <c r="C18" i="10"/>
  <c r="C130" i="2"/>
  <c r="K228" i="1"/>
  <c r="K256" i="1" s="1"/>
  <c r="K270" i="1" s="1"/>
  <c r="G8" i="13"/>
  <c r="D6" i="13"/>
  <c r="C6" i="13"/>
  <c r="D12" i="13"/>
  <c r="C12" i="13"/>
  <c r="D7" i="13"/>
  <c r="C7" i="13"/>
  <c r="C16" i="10"/>
  <c r="C118" i="2"/>
  <c r="J256" i="1"/>
  <c r="J270" i="1"/>
  <c r="C120" i="2"/>
  <c r="L255" i="1"/>
  <c r="C110" i="2"/>
  <c r="L228" i="1"/>
  <c r="C24" i="10"/>
  <c r="D19" i="13"/>
  <c r="C19" i="13"/>
  <c r="D14" i="13"/>
  <c r="C14" i="13"/>
  <c r="C122" i="2"/>
  <c r="C20" i="10"/>
  <c r="I256" i="1"/>
  <c r="I270" i="1"/>
  <c r="G33" i="13"/>
  <c r="H256" i="1"/>
  <c r="H270" i="1" s="1"/>
  <c r="D15" i="13"/>
  <c r="C15" i="13" s="1"/>
  <c r="J649" i="1"/>
  <c r="K597" i="1"/>
  <c r="G646" i="1" s="1"/>
  <c r="I544" i="1"/>
  <c r="F549" i="1"/>
  <c r="L564" i="1"/>
  <c r="L570" i="1"/>
  <c r="F570" i="1"/>
  <c r="F544" i="1"/>
  <c r="L532" i="1"/>
  <c r="L531" i="1"/>
  <c r="H549" i="1" s="1"/>
  <c r="G533" i="1"/>
  <c r="L530" i="1"/>
  <c r="H548" i="1" s="1"/>
  <c r="H550" i="1"/>
  <c r="L528" i="1"/>
  <c r="L543" i="1"/>
  <c r="J551" i="1"/>
  <c r="H544" i="1"/>
  <c r="C13" i="10"/>
  <c r="L246" i="1"/>
  <c r="C111" i="2"/>
  <c r="F368" i="1"/>
  <c r="J638" i="1"/>
  <c r="J32" i="1"/>
  <c r="G21" i="2"/>
  <c r="L426" i="1"/>
  <c r="L433" i="1"/>
  <c r="G637" i="1" s="1"/>
  <c r="J637" i="1" s="1"/>
  <c r="L210" i="1"/>
  <c r="K502" i="1"/>
  <c r="G475" i="1"/>
  <c r="H622" i="1" s="1"/>
  <c r="J622" i="1" s="1"/>
  <c r="I337" i="1"/>
  <c r="I351" i="1" s="1"/>
  <c r="H51" i="1"/>
  <c r="H618" i="1" s="1"/>
  <c r="J618" i="1" s="1"/>
  <c r="G111" i="1"/>
  <c r="G192" i="1" s="1"/>
  <c r="G627" i="1" s="1"/>
  <c r="J627" i="1" s="1"/>
  <c r="G661" i="1"/>
  <c r="D5" i="13"/>
  <c r="C5" i="13"/>
  <c r="J110" i="1"/>
  <c r="J111" i="1"/>
  <c r="J192" i="1" s="1"/>
  <c r="C38" i="10"/>
  <c r="H475" i="1"/>
  <c r="H623" i="1"/>
  <c r="J623" i="1" s="1"/>
  <c r="K499" i="1"/>
  <c r="E143" i="2"/>
  <c r="D80" i="2"/>
  <c r="H168" i="1"/>
  <c r="H192" i="1"/>
  <c r="G628" i="1" s="1"/>
  <c r="J628" i="1" s="1"/>
  <c r="J650" i="1"/>
  <c r="J654" i="1"/>
  <c r="I358" i="1"/>
  <c r="G366" i="1"/>
  <c r="G368" i="1" s="1"/>
  <c r="G80" i="2"/>
  <c r="G551" i="1"/>
  <c r="G163" i="2"/>
  <c r="C50" i="2"/>
  <c r="G161" i="2"/>
  <c r="K544" i="1"/>
  <c r="G162" i="2"/>
  <c r="B160" i="2"/>
  <c r="G160" i="2" s="1"/>
  <c r="G156" i="2"/>
  <c r="J644" i="1"/>
  <c r="L400" i="1"/>
  <c r="L407" i="1"/>
  <c r="H337" i="1"/>
  <c r="H351" i="1"/>
  <c r="L327" i="1"/>
  <c r="C11" i="10"/>
  <c r="C18" i="12"/>
  <c r="E118" i="2"/>
  <c r="E127" i="2" s="1"/>
  <c r="L294" i="1"/>
  <c r="E108" i="2" s="1"/>
  <c r="E114" i="2" s="1"/>
  <c r="F308" i="1"/>
  <c r="F337" i="1"/>
  <c r="F351" i="1" s="1"/>
  <c r="E109" i="2"/>
  <c r="L289" i="1"/>
  <c r="F33" i="13"/>
  <c r="G159" i="2"/>
  <c r="F80" i="2"/>
  <c r="F103" i="2" s="1"/>
  <c r="C103" i="2"/>
  <c r="G31" i="2"/>
  <c r="H33" i="13"/>
  <c r="D90" i="2"/>
  <c r="D103" i="2"/>
  <c r="E90" i="2"/>
  <c r="E103" i="2"/>
  <c r="D18" i="2"/>
  <c r="D49" i="2"/>
  <c r="D50" i="2" s="1"/>
  <c r="G308" i="1"/>
  <c r="G337" i="1" s="1"/>
  <c r="G351" i="1" s="1"/>
  <c r="C39" i="10"/>
  <c r="L359" i="1"/>
  <c r="H361" i="1"/>
  <c r="G51" i="1"/>
  <c r="H617" i="1"/>
  <c r="J617" i="1" s="1"/>
  <c r="H661" i="1"/>
  <c r="F659" i="1"/>
  <c r="K549" i="1"/>
  <c r="H551" i="1"/>
  <c r="C36" i="10"/>
  <c r="C41" i="10" s="1"/>
  <c r="L256" i="1"/>
  <c r="L270" i="1" s="1"/>
  <c r="G631" i="1" s="1"/>
  <c r="J631" i="1" s="1"/>
  <c r="I361" i="1"/>
  <c r="G633" i="1" s="1"/>
  <c r="J633" i="1" s="1"/>
  <c r="I366" i="1"/>
  <c r="I368" i="1" s="1"/>
  <c r="H633" i="1" s="1"/>
  <c r="H659" i="1"/>
  <c r="C10" i="10"/>
  <c r="L308" i="1"/>
  <c r="D31" i="13" s="1"/>
  <c r="C31" i="13" s="1"/>
  <c r="L358" i="1"/>
  <c r="D126" i="2"/>
  <c r="D127" i="2" s="1"/>
  <c r="D144" i="2" s="1"/>
  <c r="L337" i="1"/>
  <c r="L351" i="1" s="1"/>
  <c r="G632" i="1" s="1"/>
  <c r="J632" i="1" s="1"/>
  <c r="G659" i="1"/>
  <c r="I659" i="1" s="1"/>
  <c r="G660" i="1"/>
  <c r="H660" i="1"/>
  <c r="F660" i="1"/>
  <c r="I660" i="1" s="1"/>
  <c r="L361" i="1"/>
  <c r="C27" i="10"/>
  <c r="G634" i="1"/>
  <c r="J634" i="1"/>
  <c r="C22" i="12"/>
  <c r="L611" i="1"/>
  <c r="L613" i="1"/>
  <c r="G662" i="1"/>
  <c r="G663" i="1"/>
  <c r="I662" i="1"/>
  <c r="J47" i="1"/>
  <c r="I445" i="1"/>
  <c r="G641" i="1" s="1"/>
  <c r="J475" i="1"/>
  <c r="H625" i="1"/>
  <c r="J625" i="1" s="1"/>
  <c r="J639" i="1"/>
  <c r="J19" i="1"/>
  <c r="G620" i="1" s="1"/>
  <c r="G9" i="2"/>
  <c r="G18" i="2" s="1"/>
  <c r="G636" i="1"/>
  <c r="J636" i="1" s="1"/>
  <c r="H645" i="1"/>
  <c r="C138" i="2"/>
  <c r="G643" i="1"/>
  <c r="J643" i="1" s="1"/>
  <c r="G671" i="1"/>
  <c r="C5" i="10" s="1"/>
  <c r="G666" i="1"/>
  <c r="J50" i="1"/>
  <c r="G46" i="2"/>
  <c r="G49" i="2" s="1"/>
  <c r="G50" i="2" s="1"/>
  <c r="C140" i="2"/>
  <c r="C143" i="2"/>
  <c r="G625" i="1"/>
  <c r="J51" i="1"/>
  <c r="H620" i="1" s="1"/>
  <c r="J620" i="1" l="1"/>
  <c r="E144" i="2"/>
  <c r="D35" i="10"/>
  <c r="D39" i="10"/>
  <c r="D37" i="10"/>
  <c r="D36" i="10"/>
  <c r="D40" i="10"/>
  <c r="D38" i="10"/>
  <c r="G645" i="1"/>
  <c r="J645" i="1" s="1"/>
  <c r="G630" i="1"/>
  <c r="J630" i="1" s="1"/>
  <c r="J351" i="1"/>
  <c r="H647" i="1"/>
  <c r="G103" i="2"/>
  <c r="G523" i="1"/>
  <c r="G544" i="1" s="1"/>
  <c r="L520" i="1"/>
  <c r="C123" i="2"/>
  <c r="H646" i="1"/>
  <c r="J646" i="1" s="1"/>
  <c r="C21" i="10"/>
  <c r="F661" i="1"/>
  <c r="G648" i="1"/>
  <c r="J648" i="1" s="1"/>
  <c r="D29" i="13"/>
  <c r="H663" i="1"/>
  <c r="L533" i="1"/>
  <c r="J647" i="1"/>
  <c r="I551" i="1"/>
  <c r="C119" i="2"/>
  <c r="C127" i="2" s="1"/>
  <c r="E8" i="13"/>
  <c r="C17" i="10"/>
  <c r="L522" i="1"/>
  <c r="F550" i="1" s="1"/>
  <c r="K550" i="1" s="1"/>
  <c r="C114" i="2"/>
  <c r="C144" i="2" s="1"/>
  <c r="C13" i="12"/>
  <c r="A13" i="12" s="1"/>
  <c r="F143" i="2"/>
  <c r="F144" i="2" s="1"/>
  <c r="I459" i="1"/>
  <c r="I460" i="1" s="1"/>
  <c r="H641" i="1" s="1"/>
  <c r="J641" i="1" s="1"/>
  <c r="C8" i="13" l="1"/>
  <c r="E33" i="13"/>
  <c r="D35" i="13" s="1"/>
  <c r="H671" i="1"/>
  <c r="C6" i="10" s="1"/>
  <c r="H666" i="1"/>
  <c r="H655" i="1"/>
  <c r="C28" i="10"/>
  <c r="D33" i="13"/>
  <c r="D36" i="13" s="1"/>
  <c r="C29" i="13"/>
  <c r="I661" i="1"/>
  <c r="I663" i="1" s="1"/>
  <c r="F663" i="1"/>
  <c r="F548" i="1"/>
  <c r="L523" i="1"/>
  <c r="L544" i="1" s="1"/>
  <c r="D41" i="10"/>
  <c r="F671" i="1" l="1"/>
  <c r="C4" i="10" s="1"/>
  <c r="F666" i="1"/>
  <c r="D22" i="10"/>
  <c r="D24" i="10"/>
  <c r="D18" i="10"/>
  <c r="D26" i="10"/>
  <c r="D13" i="10"/>
  <c r="D25" i="10"/>
  <c r="D19" i="10"/>
  <c r="D15" i="10"/>
  <c r="D20" i="10"/>
  <c r="C30" i="10"/>
  <c r="D11" i="10"/>
  <c r="D10" i="10"/>
  <c r="D12" i="10"/>
  <c r="D23" i="10"/>
  <c r="D16" i="10"/>
  <c r="D27" i="10"/>
  <c r="F551" i="1"/>
  <c r="K548" i="1"/>
  <c r="K551" i="1" s="1"/>
  <c r="I671" i="1"/>
  <c r="C7" i="10" s="1"/>
  <c r="I666" i="1"/>
  <c r="D17" i="10"/>
  <c r="D21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<sst xmlns="http://schemas.openxmlformats.org/spreadsheetml/2006/main" count="3946" uniqueCount="912">
  <si>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</si>
  <si>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</si>
  <si>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</si>
  <si>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</si>
  <si>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</si>
  <si>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</si>
  <si>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</si>
  <si>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</si>
  <si>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</si>
  <si>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</si>
  <si>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</si>
  <si>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</si>
  <si>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</si>
  <si>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</si>
  <si>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</si>
  <si>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</si>
  <si>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</si>
  <si>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</si>
  <si>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</si>
  <si>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</si>
  <si>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</si>
  <si>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</si>
  <si>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</si>
  <si>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</si>
  <si>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</si>
  <si>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</si>
  <si>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</si>
  <si>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</si>
  <si>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</si>
  <si>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</si>
  <si>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</si>
  <si>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</si>
  <si>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</si>
  <si>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</si>
  <si>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</si>
  <si>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</si>
  <si>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</si>
  <si>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</si>
  <si>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</si>
  <si>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</si>
  <si>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</si>
  <si>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</si>
  <si>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</si>
  <si>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</si>
  <si>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</si>
  <si>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</si>
  <si>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</si>
  <si>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</si>
  <si>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</si>
  <si>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</si>
  <si>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</si>
  <si>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</si>
  <si>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</si>
  <si>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</si>
  <si>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</si>
  <si>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</si>
  <si>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</si>
  <si>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</si>
  <si>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</si>
  <si>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</si>
  <si>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</si>
  <si>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</si>
  <si>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</si>
  <si>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</si>
  <si>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</si>
  <si>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</si>
  <si>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</si>
  <si>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</si>
  <si>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</si>
  <si>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</si>
  <si>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</si>
  <si>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</si>
  <si>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</si>
  <si>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</si>
  <si>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</si>
  <si>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</si>
  <si>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</si>
  <si>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</si>
  <si>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</si>
  <si>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</si>
  <si>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</si>
  <si>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</si>
  <si>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</si>
  <si>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</si>
  <si>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</si>
  <si>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</si>
  <si>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</si>
  <si>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</si>
  <si>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</si>
  <si>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</si>
  <si>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</si>
  <si>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</si>
  <si>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</si>
  <si>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</si>
  <si>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</si>
  <si>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</si>
  <si>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</si>
  <si>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</si>
  <si>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</si>
  <si>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</si>
  <si>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</si>
  <si>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</si>
  <si>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</si>
  <si>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</si>
  <si>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</si>
  <si>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</si>
  <si>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</si>
  <si>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</si>
  <si>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</si>
  <si>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</si>
  <si>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</si>
  <si>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</si>
  <si>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</si>
  <si>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</si>
  <si>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</si>
  <si>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</si>
  <si>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</si>
  <si>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</si>
  <si>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</si>
  <si>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</si>
  <si>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</si>
  <si>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</si>
  <si>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</si>
  <si>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</si>
  <si>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</si>
  <si>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</si>
  <si>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</si>
  <si>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</si>
  <si>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</si>
  <si>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</si>
  <si>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</si>
  <si>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</si>
  <si>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</si>
  <si>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</si>
  <si>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</si>
  <si>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</si>
  <si>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</si>
  <si>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</si>
  <si>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</si>
  <si>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</si>
  <si>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</si>
  <si>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</si>
  <si>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</si>
  <si>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</si>
  <si>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</si>
  <si>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</si>
  <si>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</si>
  <si>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</si>
  <si>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</si>
  <si>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</si>
  <si>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</si>
  <si>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</si>
  <si>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</si>
  <si>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</si>
  <si>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</si>
  <si>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</si>
  <si>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</si>
  <si>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</si>
  <si>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</si>
  <si>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</si>
  <si>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</si>
  <si>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</si>
  <si>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</si>
  <si>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</si>
  <si>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</si>
  <si>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</si>
  <si>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</si>
  <si>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</si>
  <si>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</si>
  <si>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</si>
  <si>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</si>
  <si>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</si>
  <si>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</si>
  <si>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</si>
  <si>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</si>
  <si>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</si>
  <si>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</si>
  <si>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</si>
  <si>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</si>
  <si>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</si>
  <si>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</si>
  <si>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</si>
  <si>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</si>
  <si>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</si>
  <si>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</si>
  <si>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</si>
  <si>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</si>
  <si>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</si>
  <si>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</si>
  <si>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</si>
  <si>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</si>
  <si>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</si>
  <si>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</si>
  <si>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</si>
  <si>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</si>
  <si>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</si>
  <si>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</si>
  <si>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</si>
  <si>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</si>
  <si>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</si>
  <si>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</si>
  <si>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</si>
  <si>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</si>
  <si>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</si>
  <si>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</si>
  <si>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</si>
  <si>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</si>
  <si>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</si>
  <si>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</si>
  <si>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</si>
  <si>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</si>
  <si>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</si>
  <si>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</si>
  <si>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</si>
  <si>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</si>
  <si>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</si>
  <si>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</si>
  <si>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</si>
  <si>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</si>
  <si>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</si>
  <si>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</si>
  <si>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</si>
  <si>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</si>
  <si>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</si>
  <si>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</si>
  <si>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</si>
  <si>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</si>
  <si>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</si>
  <si>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</si>
  <si>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</si>
  <si>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</si>
  <si>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</si>
  <si>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</si>
  <si>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</si>
  <si>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</si>
  <si>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</si>
  <si>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</si>
  <si>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</si>
  <si>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</si>
  <si>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</si>
  <si>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</si>
  <si>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</si>
  <si>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</si>
  <si>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</si>
  <si>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</si>
  <si>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</si>
  <si>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</si>
  <si>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</si>
  <si>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</si>
  <si>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</si>
  <si>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</si>
  <si>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</si>
  <si>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</si>
  <si>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</si>
  <si>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</si>
  <si>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</si>
  <si>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</si>
  <si>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</si>
  <si>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</si>
  <si>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</si>
  <si>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</si>
  <si>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</si>
  <si>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</si>
  <si>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</si>
  <si>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</si>
  <si>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</si>
  <si>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</si>
  <si>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</si>
  <si>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</si>
  <si>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</si>
  <si>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</si>
  <si>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</si>
  <si>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</si>
  <si>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</si>
  <si>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</si>
  <si>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</si>
  <si>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</si>
  <si>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</si>
  <si>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</si>
  <si>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</si>
  <si>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</si>
  <si>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</si>
  <si>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</si>
  <si>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</si>
  <si>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</si>
  <si>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</si>
  <si>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</si>
  <si>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</si>
  <si>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</si>
  <si>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</si>
  <si>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</si>
  <si>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</si>
  <si>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</si>
  <si>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</si>
  <si>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</si>
  <si>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</si>
  <si>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</si>
  <si>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</si>
  <si>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</si>
  <si>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</si>
  <si>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</si>
  <si>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</si>
  <si>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</si>
  <si>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</si>
  <si>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</si>
  <si>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</si>
  <si>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</si>
  <si>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</si>
  <si>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</si>
  <si>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</si>
  <si>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</si>
  <si>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</si>
  <si>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</si>
  <si>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</si>
  <si>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</si>
  <si>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</si>
  <si>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</si>
  <si>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</si>
  <si>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</si>
  <si>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</si>
  <si>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</si>
  <si>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</si>
  <si>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</si>
  <si>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</si>
  <si>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</si>
  <si>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</si>
  <si>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</si>
  <si>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</si>
  <si>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</si>
  <si>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</si>
  <si>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</si>
  <si>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</si>
  <si>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</si>
  <si>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</si>
  <si>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</si>
  <si>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</si>
  <si>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</si>
  <si>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</si>
  <si>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</si>
  <si>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</si>
  <si>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</si>
  <si>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</si>
  <si>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</si>
  <si>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</si>
  <si>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</si>
  <si>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</si>
  <si>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</si>
  <si>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</si>
  <si>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</si>
  <si>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</si>
  <si>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</si>
  <si>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</si>
  <si>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</si>
  <si>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</si>
  <si>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</si>
  <si>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</si>
  <si>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</si>
  <si>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</si>
  <si>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</si>
  <si>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</si>
  <si>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</si>
  <si>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</si>
  <si>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</si>
  <si>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</si>
  <si>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</si>
  <si>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</si>
  <si>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</si>
  <si>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</si>
  <si>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</si>
  <si>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</si>
  <si>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</si>
  <si>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</si>
  <si>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</si>
  <si>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</si>
  <si>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</si>
  <si>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</si>
  <si>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</si>
  <si>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</si>
  <si>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</si>
  <si>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</si>
  <si>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</si>
  <si>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</si>
  <si>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</si>
  <si>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</si>
  <si>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</si>
  <si>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</si>
  <si>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</si>
  <si>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</si>
  <si>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</si>
  <si>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</si>
  <si>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</si>
  <si>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</si>
  <si>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</si>
  <si>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</si>
  <si>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</si>
  <si>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</si>
  <si>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</si>
  <si>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</si>
  <si>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</si>
  <si>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</si>
  <si>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</si>
  <si>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</si>
  <si>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</si>
  <si>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</si>
  <si>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</si>
  <si>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</si>
  <si>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</si>
  <si>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</si>
  <si>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</si>
  <si>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</si>
  <si>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</si>
  <si>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</si>
  <si>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</si>
  <si>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</si>
  <si>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</si>
  <si>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</si>
  <si>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</si>
  <si>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</si>
  <si>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</si>
  <si>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</si>
  <si>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</si>
  <si>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</si>
  <si>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</si>
  <si>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</si>
  <si>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</si>
  <si>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</si>
  <si>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</si>
  <si>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</si>
  <si>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</si>
  <si>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</si>
  <si>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</si>
  <si>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</si>
  <si>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</si>
  <si>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</si>
  <si>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</si>
  <si>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</si>
  <si>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</si>
  <si>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</si>
  <si>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</si>
  <si>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</si>
  <si>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</si>
  <si>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</si>
  <si>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</si>
  <si>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</si>
  <si>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</si>
  <si>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</si>
  <si>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</si>
  <si>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</si>
  <si>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</si>
  <si>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</si>
  <si>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</si>
  <si>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</si>
  <si>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</si>
  <si>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</si>
  <si>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</si>
  <si>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</si>
  <si>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</si>
  <si>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</si>
  <si>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</si>
  <si>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</si>
  <si>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</si>
  <si>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</si>
  <si>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</si>
  <si>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</si>
  <si>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</si>
  <si>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</si>
  <si>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</si>
  <si>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</si>
  <si>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</si>
  <si>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</si>
  <si>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</si>
  <si>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</si>
  <si>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</si>
  <si>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</si>
  <si>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</si>
  <si>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</si>
  <si>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</si>
  <si>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</si>
  <si>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</si>
  <si>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</si>
  <si>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</si>
  <si>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</si>
  <si>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</si>
  <si>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</si>
  <si>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</si>
  <si>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</si>
  <si>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</si>
  <si>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</si>
  <si>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</si>
  <si>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</si>
  <si>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</si>
  <si>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</si>
  <si>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</si>
  <si>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</si>
  <si>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</si>
  <si>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</si>
  <si>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</si>
  <si>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</si>
  <si>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</si>
  <si>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</si>
  <si>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</si>
  <si>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</si>
  <si>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</si>
  <si>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</si>
  <si>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</si>
  <si>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</si>
  <si>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</si>
  <si>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</si>
  <si>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</si>
  <si>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</si>
  <si>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</si>
  <si>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</si>
  <si>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</si>
  <si>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</si>
  <si>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</si>
  <si>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</si>
  <si>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</si>
  <si>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</si>
  <si>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</si>
  <si>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</si>
  <si>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</si>
  <si>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</si>
  <si>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</si>
  <si>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</si>
  <si>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</si>
  <si>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</si>
  <si>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</si>
  <si>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</si>
  <si>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</si>
  <si>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</si>
  <si>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</si>
  <si>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</si>
  <si>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</si>
  <si>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</si>
  <si>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</si>
  <si>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</si>
  <si>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</si>
  <si>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</si>
  <si>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</si>
  <si>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</si>
  <si>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</si>
  <si>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</si>
  <si>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</si>
  <si>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</si>
  <si>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</si>
  <si>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</si>
  <si>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</si>
  <si>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</si>
  <si>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</si>
  <si>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</si>
  <si>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</si>
  <si>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</si>
  <si>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</si>
  <si>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</si>
  <si>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</si>
  <si>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</si>
  <si>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</si>
  <si>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</si>
  <si>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</si>
  <si>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</si>
  <si>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</si>
  <si>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</si>
  <si>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</si>
  <si>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</si>
  <si>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</si>
  <si>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</si>
  <si>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</si>
  <si>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</si>
  <si>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</si>
  <si>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</si>
  <si>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</si>
  <si>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</si>
  <si>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</si>
  <si>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</si>
  <si>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</si>
  <si>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</si>
  <si>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</si>
  <si>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</si>
  <si>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</si>
  <si>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</si>
  <si>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</si>
  <si>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</si>
  <si>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</si>
  <si>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</si>
  <si>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</si>
  <si>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</si>
  <si>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</si>
  <si>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</si>
  <si>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</si>
  <si>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</si>
  <si>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</si>
  <si>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</si>
  <si>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</si>
  <si>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</si>
  <si>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</si>
  <si>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</si>
  <si>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</si>
  <si>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</si>
  <si>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</si>
  <si>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</si>
  <si>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</si>
  <si>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</si>
  <si>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</si>
  <si>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</si>
  <si>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</si>
  <si>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</si>
  <si>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</si>
  <si>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</si>
  <si>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</si>
  <si>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</si>
  <si>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</si>
  <si>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</si>
  <si>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</si>
  <si>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</si>
  <si>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</si>
  <si>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</si>
  <si>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</si>
  <si>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</si>
  <si>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</si>
  <si>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</si>
  <si>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</si>
  <si>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</si>
  <si>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</si>
  <si>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</si>
  <si>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</si>
  <si>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</si>
  <si>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</si>
  <si>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</si>
  <si>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</si>
  <si>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</si>
  <si>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</si>
  <si>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</si>
  <si>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</si>
  <si>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</si>
  <si>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</si>
  <si>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</si>
  <si>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</si>
  <si>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</si>
  <si>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</si>
  <si>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</si>
  <si>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</si>
  <si>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</si>
  <si>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</si>
  <si>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</si>
  <si>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</si>
  <si>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</si>
  <si>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</si>
  <si>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</si>
  <si>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</si>
  <si>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</si>
  <si>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</si>
  <si>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</si>
  <si>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</si>
  <si>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</si>
  <si>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</si>
  <si>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</si>
  <si>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</si>
  <si>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</si>
  <si>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</si>
  <si>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</si>
  <si>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</si>
  <si>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</si>
  <si>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</si>
  <si>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</si>
  <si>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</si>
  <si>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</si>
  <si>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</si>
  <si>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</si>
  <si>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</si>
  <si>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</si>
  <si>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</si>
  <si>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</si>
  <si>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</si>
  <si>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</si>
  <si>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</si>
  <si>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</si>
  <si>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</si>
  <si>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</si>
  <si>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</si>
  <si>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</si>
  <si>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</si>
  <si>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</si>
  <si>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</si>
  <si>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</si>
  <si>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</si>
  <si>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</si>
  <si>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</si>
  <si>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</si>
  <si>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</si>
  <si>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</si>
  <si>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</si>
  <si>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</si>
  <si>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</si>
  <si>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</si>
  <si>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</si>
  <si>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</si>
  <si>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</si>
  <si>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</si>
  <si>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</si>
  <si>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</si>
  <si>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</si>
  <si>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</si>
  <si>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</si>
  <si>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</si>
  <si>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</si>
  <si>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</si>
  <si>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</si>
  <si>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</si>
  <si>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</si>
  <si>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</si>
  <si>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</si>
  <si>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</si>
  <si>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</si>
  <si>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</si>
  <si>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</si>
  <si>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</si>
  <si>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</si>
  <si>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</si>
  <si>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</si>
  <si>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</si>
  <si>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</si>
  <si>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</si>
  <si>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</si>
  <si>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</si>
  <si>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</si>
  <si>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</si>
  <si>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</si>
  <si>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</si>
  <si>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</si>
  <si>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</si>
  <si>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</si>
  <si>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</si>
  <si>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</si>
  <si>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</si>
  <si>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</si>
  <si>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</si>
  <si>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</si>
  <si>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</si>
  <si>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</si>
  <si>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</si>
  <si>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</si>
  <si>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</si>
  <si>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</si>
  <si>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</si>
  <si>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</si>
  <si>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</si>
  <si>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</si>
  <si>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</si>
  <si>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</si>
  <si>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</si>
  <si>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</si>
  <si>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</si>
  <si>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</si>
  <si>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</si>
  <si>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</si>
  <si>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</si>
  <si>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</si>
  <si>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</si>
  <si>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</si>
  <si>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</si>
  <si>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</si>
  <si>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</si>
  <si>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</si>
  <si>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</si>
  <si>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</si>
  <si>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</si>
  <si>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</si>
  <si>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</si>
  <si>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</si>
  <si>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</si>
  <si>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</si>
  <si>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</si>
  <si>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</si>
  <si>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</si>
  <si>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</si>
  <si>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</si>
  <si>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</si>
  <si>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</si>
  <si>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</si>
  <si>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</si>
  <si>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</si>
  <si>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</si>
  <si>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</si>
  <si>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</si>
  <si>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</si>
  <si>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</si>
  <si>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</si>
  <si>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</si>
  <si>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</si>
  <si>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</si>
  <si>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</si>
  <si>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</si>
  <si>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</si>
  <si>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</si>
  <si>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</si>
  <si>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</si>
  <si>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</si>
  <si>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</si>
  <si>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</si>
  <si>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</si>
  <si>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</si>
  <si>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</si>
  <si>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</si>
  <si>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</si>
  <si>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</si>
  <si>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</si>
  <si>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</si>
  <si>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</si>
  <si>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</si>
  <si>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</si>
  <si>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</si>
  <si>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</si>
  <si>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</si>
  <si>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</si>
  <si>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</si>
  <si>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</si>
  <si>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</si>
  <si>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</si>
  <si>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</si>
  <si>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</si>
  <si>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</si>
  <si>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</si>
  <si>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</si>
  <si>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</si>
  <si>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</si>
  <si>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</si>
  <si>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</si>
  <si>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</si>
  <si>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</si>
  <si>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</si>
  <si>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</si>
  <si>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</si>
  <si>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</si>
  <si>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</si>
  <si>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</si>
  <si>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</si>
  <si>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</si>
  <si>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</si>
  <si>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</si>
  <si>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</si>
  <si>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</si>
  <si>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</si>
  <si>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</si>
  <si>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</si>
  <si>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</si>
  <si>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</si>
  <si>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</si>
  <si>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</si>
  <si>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</si>
  <si>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</si>
  <si>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</si>
  <si>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</si>
  <si>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</si>
  <si>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</si>
  <si>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</si>
  <si>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</si>
  <si>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</si>
  <si>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</si>
  <si>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</si>
  <si>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</si>
  <si>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</si>
  <si>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</si>
  <si>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</si>
  <si>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</si>
  <si>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</si>
  <si>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</si>
  <si>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</si>
  <si>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</si>
  <si>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</si>
  <si>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</si>
  <si>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</si>
  <si>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</si>
  <si>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</si>
  <si>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</si>
  <si>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</si>
  <si>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</si>
  <si>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</si>
  <si>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</si>
  <si>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</si>
  <si>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</si>
  <si>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</si>
  <si>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</si>
  <si>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</si>
  <si>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</si>
  <si>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</si>
  <si>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</si>
  <si>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</si>
  <si>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</si>
  <si>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</si>
  <si>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</si>
  <si>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</si>
  <si>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</si>
  <si>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</si>
  <si>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</si>
  <si>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</si>
  <si>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</si>
  <si>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</si>
  <si>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</si>
  <si>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</si>
  <si>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</si>
  <si>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</si>
  <si>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</si>
  <si>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</si>
  <si>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</si>
  <si>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</si>
  <si>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</si>
  <si>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</si>
  <si>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</si>
  <si>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</si>
  <si>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4/2003</t>
  </si>
  <si>
    <t>1/2018</t>
  </si>
  <si>
    <t>Moultonborough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</si>
</sst>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" fontId="4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369</v>
      </c>
      <c r="C2" s="21">
        <v>369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753858.39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1312644.1399999999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80685.47</v>
      </c>
      <c r="G13" s="18">
        <v>18442.89</v>
      </c>
      <c r="H13" s="18">
        <v>115885.21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325</v>
      </c>
      <c r="G14" s="18">
        <v>28668.5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834868.86</v>
      </c>
      <c r="G19" s="41">
        <f>SUM(G9:G18)</f>
        <v>47111.39</v>
      </c>
      <c r="H19" s="41">
        <f>SUM(H9:H18)</f>
        <v>115885.21</v>
      </c>
      <c r="I19" s="41">
        <f>SUM(I9:I18)</f>
        <v>0</v>
      </c>
      <c r="J19" s="41">
        <f>SUM(J9:J18)</f>
        <v>1312644.1399999999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219828.15</v>
      </c>
      <c r="G22" s="18">
        <f>43870.93-0.08</f>
        <v>43870.85</v>
      </c>
      <c r="H22" s="18">
        <v>103506.7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4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7997.77+5.1</f>
        <v>8002.8700000000008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12378.51</v>
      </c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227831.02</v>
      </c>
      <c r="G32" s="41">
        <f>SUM(G22:G31)</f>
        <v>43870.85</v>
      </c>
      <c r="H32" s="41">
        <f>SUM(H22:H31)</f>
        <v>115885.20999999999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100000</v>
      </c>
      <c r="G47" s="18">
        <f>3240.54</f>
        <v>3240.54</v>
      </c>
      <c r="H47" s="18"/>
      <c r="I47" s="18"/>
      <c r="J47" s="13">
        <f>SUM(I458)</f>
        <v>1312644.1399999999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283978.71999999997</v>
      </c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173059.12-50000</f>
        <v>123059.12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607037.84</v>
      </c>
      <c r="G50" s="41">
        <f>SUM(G35:G49)</f>
        <v>3240.54</v>
      </c>
      <c r="H50" s="41">
        <f>SUM(H35:H49)</f>
        <v>0</v>
      </c>
      <c r="I50" s="41">
        <f>SUM(I35:I49)</f>
        <v>0</v>
      </c>
      <c r="J50" s="41">
        <f>SUM(J35:J49)</f>
        <v>1312644.1399999999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834868.86</v>
      </c>
      <c r="G51" s="41">
        <f>G50+G32</f>
        <v>47111.39</v>
      </c>
      <c r="H51" s="41">
        <f>H50+H32</f>
        <v>115885.20999999999</v>
      </c>
      <c r="I51" s="41">
        <f>I50+I32</f>
        <v>0</v>
      </c>
      <c r="J51" s="41">
        <f>J50+J32</f>
        <v>1312644.1399999999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12937838-6901215</f>
        <v>6036623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6036623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18961.900000000001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3630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22591.9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142.41999999999999</v>
      </c>
      <c r="G95" s="18"/>
      <c r="H95" s="18"/>
      <c r="I95" s="18"/>
      <c r="J95" s="18">
        <f>1068.24+1072</f>
        <v>2140.2399999999998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164377.92+0.08</f>
        <v>164378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1259.3+2573.03</f>
        <v>3832.33</v>
      </c>
      <c r="G109" s="18"/>
      <c r="H109" s="18"/>
      <c r="I109" s="18"/>
      <c r="J109" s="18">
        <f>1626435.41-1068.24</f>
        <v>1625367.17</v>
      </c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3974.75</v>
      </c>
      <c r="G110" s="41">
        <f>SUM(G95:G109)</f>
        <v>164378</v>
      </c>
      <c r="H110" s="41">
        <f>SUM(H95:H109)</f>
        <v>0</v>
      </c>
      <c r="I110" s="41">
        <f>SUM(I95:I109)</f>
        <v>0</v>
      </c>
      <c r="J110" s="41">
        <f>SUM(J95:J109)</f>
        <v>1627507.41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6063189.6500000004</v>
      </c>
      <c r="G111" s="41">
        <f>G59+G110</f>
        <v>164378</v>
      </c>
      <c r="H111" s="41">
        <f>H59+H78+H93+H110</f>
        <v>0</v>
      </c>
      <c r="I111" s="41">
        <f>I59+I110</f>
        <v>0</v>
      </c>
      <c r="J111" s="41">
        <f>J59+J110</f>
        <v>1627507.41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6901215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6901215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251832.25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21293.03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5929.32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600.12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279054.60000000003</v>
      </c>
      <c r="G135" s="41">
        <f>SUM(G122:G134)</f>
        <v>600.12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7180269.5999999996</v>
      </c>
      <c r="G139" s="41">
        <f>G120+SUM(G135:G136)</f>
        <v>600.12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89641.52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49072.75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94813+9910.26-600.12</f>
        <v>104123.14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2423.5+137996</f>
        <v>140419.5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91198.14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91198.14</v>
      </c>
      <c r="G161" s="41">
        <f>SUM(G149:G160)</f>
        <v>104123.14</v>
      </c>
      <c r="H161" s="41">
        <f>SUM(H149:H160)</f>
        <v>279133.77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91198.14</v>
      </c>
      <c r="G168" s="41">
        <f>G146+G161+SUM(G162:G167)</f>
        <v>104123.14</v>
      </c>
      <c r="H168" s="41">
        <f>H146+H161+SUM(H162:H167)</f>
        <v>279133.77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75000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75000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75000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13334657.390000001</v>
      </c>
      <c r="G192" s="47">
        <f>G111+G139+G168+G191</f>
        <v>269101.26</v>
      </c>
      <c r="H192" s="47">
        <f>H111+H139+H168+H191</f>
        <v>279133.77</v>
      </c>
      <c r="I192" s="47">
        <f>I111+I139+I168+I191</f>
        <v>0</v>
      </c>
      <c r="J192" s="47">
        <f>J111+J139+J191</f>
        <v>1702507.41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1542761.16+199773.84+63175.19</f>
        <v>1805710.19</v>
      </c>
      <c r="G196" s="18">
        <f>359097+51266.36+134638.31+178701.65+25108+3846.53</f>
        <v>752657.85</v>
      </c>
      <c r="H196" s="18">
        <v>10255</v>
      </c>
      <c r="I196" s="18">
        <v>60999.57</v>
      </c>
      <c r="J196" s="18">
        <v>615.29999999999995</v>
      </c>
      <c r="K196" s="18"/>
      <c r="L196" s="19">
        <f>SUM(F196:K196)</f>
        <v>2630237.9099999997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727922.02</v>
      </c>
      <c r="G197" s="18">
        <v>255062.18</v>
      </c>
      <c r="H197" s="18">
        <f>95021.65-10935.11</f>
        <v>84086.54</v>
      </c>
      <c r="I197" s="18">
        <v>6231.78</v>
      </c>
      <c r="J197" s="18">
        <v>4051.95</v>
      </c>
      <c r="K197" s="18">
        <v>2332.5</v>
      </c>
      <c r="L197" s="19">
        <f>SUM(F197:K197)</f>
        <v>1079686.97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5872.9</v>
      </c>
      <c r="G198" s="18">
        <v>449.24</v>
      </c>
      <c r="H198" s="18"/>
      <c r="I198" s="18">
        <v>404.96</v>
      </c>
      <c r="J198" s="18"/>
      <c r="K198" s="18"/>
      <c r="L198" s="19">
        <f>SUM(F198:K198)</f>
        <v>6727.0999999999995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21731.83</v>
      </c>
      <c r="G199" s="18">
        <v>5090.16</v>
      </c>
      <c r="H199" s="18">
        <v>3332.33</v>
      </c>
      <c r="I199" s="18">
        <v>1115.44</v>
      </c>
      <c r="J199" s="18"/>
      <c r="K199" s="18">
        <v>75</v>
      </c>
      <c r="L199" s="19">
        <f>SUM(F199:K199)</f>
        <v>31344.76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136116.94</v>
      </c>
      <c r="G201" s="18">
        <v>54134.12</v>
      </c>
      <c r="H201" s="18">
        <v>280.02999999999997</v>
      </c>
      <c r="I201" s="18">
        <v>3435.3</v>
      </c>
      <c r="J201" s="18">
        <v>793.76</v>
      </c>
      <c r="K201" s="18">
        <v>144</v>
      </c>
      <c r="L201" s="19">
        <f t="shared" ref="L201:L207" si="0">SUM(F201:K201)</f>
        <v>194904.15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122815.96</v>
      </c>
      <c r="G202" s="18">
        <v>79855.98</v>
      </c>
      <c r="H202" s="18">
        <v>30869.919999999998</v>
      </c>
      <c r="I202" s="18">
        <v>33994.980000000003</v>
      </c>
      <c r="J202" s="18">
        <v>53962.09</v>
      </c>
      <c r="K202" s="18"/>
      <c r="L202" s="19">
        <f t="shared" si="0"/>
        <v>321498.92999999993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142488.16</v>
      </c>
      <c r="G203" s="18">
        <v>49381.88</v>
      </c>
      <c r="H203" s="18">
        <v>12507.54</v>
      </c>
      <c r="I203" s="18">
        <v>10531.41</v>
      </c>
      <c r="J203" s="18"/>
      <c r="K203" s="18">
        <f>2300+8459.51+1098</f>
        <v>11857.51</v>
      </c>
      <c r="L203" s="19">
        <f t="shared" si="0"/>
        <v>226766.50000000003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149891.79999999999</v>
      </c>
      <c r="G204" s="18">
        <v>64038.65</v>
      </c>
      <c r="H204" s="18">
        <v>6280.46</v>
      </c>
      <c r="I204" s="18">
        <v>1150.6099999999999</v>
      </c>
      <c r="J204" s="18">
        <v>158.16</v>
      </c>
      <c r="K204" s="18"/>
      <c r="L204" s="19">
        <f t="shared" si="0"/>
        <v>221519.67999999996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151164.54999999999</v>
      </c>
      <c r="G206" s="18">
        <v>57741.23</v>
      </c>
      <c r="H206" s="18">
        <v>116143.16</v>
      </c>
      <c r="I206" s="18">
        <v>163676.6</v>
      </c>
      <c r="J206" s="18">
        <v>5660.68</v>
      </c>
      <c r="K206" s="18"/>
      <c r="L206" s="19">
        <f t="shared" si="0"/>
        <v>494386.22000000003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162009.58+10935.11</f>
        <v>172944.69</v>
      </c>
      <c r="I207" s="18">
        <v>347.59</v>
      </c>
      <c r="J207" s="18"/>
      <c r="K207" s="18"/>
      <c r="L207" s="19">
        <f t="shared" si="0"/>
        <v>173292.28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3263714.3499999996</v>
      </c>
      <c r="G210" s="41">
        <f t="shared" si="1"/>
        <v>1318411.2899999998</v>
      </c>
      <c r="H210" s="41">
        <f t="shared" si="1"/>
        <v>436699.67</v>
      </c>
      <c r="I210" s="41">
        <f t="shared" si="1"/>
        <v>281888.24000000005</v>
      </c>
      <c r="J210" s="41">
        <f t="shared" si="1"/>
        <v>65241.94</v>
      </c>
      <c r="K210" s="41">
        <f t="shared" si="1"/>
        <v>14409.01</v>
      </c>
      <c r="L210" s="41">
        <f t="shared" si="1"/>
        <v>5380364.4999999991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596821.35</v>
      </c>
      <c r="G214" s="18">
        <v>259409.09</v>
      </c>
      <c r="H214" s="18">
        <v>4731.25</v>
      </c>
      <c r="I214" s="18">
        <v>33010.120000000003</v>
      </c>
      <c r="J214" s="18">
        <v>3643.62</v>
      </c>
      <c r="K214" s="18"/>
      <c r="L214" s="19">
        <f>SUM(F214:K214)</f>
        <v>897615.42999999993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244896.97</v>
      </c>
      <c r="G215" s="18">
        <v>85492.27</v>
      </c>
      <c r="H215" s="18">
        <f>155760.35-24600</f>
        <v>131160.35</v>
      </c>
      <c r="I215" s="18">
        <v>2402.16</v>
      </c>
      <c r="J215" s="18">
        <v>625.69000000000005</v>
      </c>
      <c r="K215" s="18"/>
      <c r="L215" s="19">
        <f>SUM(F215:K215)</f>
        <v>464577.43999999994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1996.94</v>
      </c>
      <c r="G216" s="18">
        <v>2142.9</v>
      </c>
      <c r="H216" s="18"/>
      <c r="I216" s="18"/>
      <c r="J216" s="18"/>
      <c r="K216" s="18"/>
      <c r="L216" s="19">
        <f>SUM(F216:K216)</f>
        <v>4139.84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34169.949999999997</v>
      </c>
      <c r="G217" s="18">
        <v>4240</v>
      </c>
      <c r="H217" s="18">
        <v>2320</v>
      </c>
      <c r="I217" s="18">
        <v>17787.27</v>
      </c>
      <c r="J217" s="18"/>
      <c r="K217" s="18">
        <f>535+1922</f>
        <v>2457</v>
      </c>
      <c r="L217" s="19">
        <f>SUM(F217:K217)</f>
        <v>60974.22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79878.080000000002</v>
      </c>
      <c r="G219" s="18">
        <v>16173.68</v>
      </c>
      <c r="H219" s="18">
        <v>621</v>
      </c>
      <c r="I219" s="18">
        <v>3489.1</v>
      </c>
      <c r="J219" s="18">
        <v>55</v>
      </c>
      <c r="K219" s="18"/>
      <c r="L219" s="19">
        <f t="shared" ref="L219:L225" si="2">SUM(F219:K219)</f>
        <v>100216.86000000002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96515.72</v>
      </c>
      <c r="G220" s="18">
        <v>55448.68</v>
      </c>
      <c r="H220" s="18">
        <v>7221.86</v>
      </c>
      <c r="I220" s="18">
        <v>12726.42</v>
      </c>
      <c r="J220" s="18">
        <v>18516.03</v>
      </c>
      <c r="K220" s="18">
        <v>10643.48</v>
      </c>
      <c r="L220" s="19">
        <f t="shared" si="2"/>
        <v>201072.19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68602.02</v>
      </c>
      <c r="G221" s="18">
        <v>25044.37</v>
      </c>
      <c r="H221" s="18">
        <v>4500.05</v>
      </c>
      <c r="I221" s="18">
        <v>2572.35</v>
      </c>
      <c r="J221" s="18">
        <v>300</v>
      </c>
      <c r="K221" s="18">
        <f>750+2083.36+333.99</f>
        <v>3167.3500000000004</v>
      </c>
      <c r="L221" s="19">
        <f t="shared" si="2"/>
        <v>104186.14000000001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57870.02</v>
      </c>
      <c r="G222" s="18">
        <v>22139.54</v>
      </c>
      <c r="H222" s="18">
        <v>4341.2</v>
      </c>
      <c r="I222" s="18">
        <v>911.49</v>
      </c>
      <c r="J222" s="18">
        <v>1518.1</v>
      </c>
      <c r="K222" s="18"/>
      <c r="L222" s="19">
        <f t="shared" si="2"/>
        <v>86780.35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78625.69</v>
      </c>
      <c r="G224" s="18">
        <v>24267.15</v>
      </c>
      <c r="H224" s="18">
        <v>42747.66</v>
      </c>
      <c r="I224" s="18">
        <v>61416.92</v>
      </c>
      <c r="J224" s="18"/>
      <c r="K224" s="18"/>
      <c r="L224" s="19">
        <f t="shared" si="2"/>
        <v>207057.41999999998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69443.74+24600</f>
        <v>94043.74</v>
      </c>
      <c r="I225" s="18">
        <v>109.18</v>
      </c>
      <c r="J225" s="18"/>
      <c r="K225" s="18"/>
      <c r="L225" s="19">
        <f t="shared" si="2"/>
        <v>94152.92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1259376.7399999998</v>
      </c>
      <c r="G228" s="41">
        <f>SUM(G214:G227)</f>
        <v>494357.68</v>
      </c>
      <c r="H228" s="41">
        <f>SUM(H214:H227)</f>
        <v>291687.11</v>
      </c>
      <c r="I228" s="41">
        <f>SUM(I214:I227)</f>
        <v>134425.01</v>
      </c>
      <c r="J228" s="41">
        <f>SUM(J214:J227)</f>
        <v>24658.439999999995</v>
      </c>
      <c r="K228" s="41">
        <f t="shared" si="3"/>
        <v>16267.83</v>
      </c>
      <c r="L228" s="41">
        <f t="shared" si="3"/>
        <v>2220772.81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1366326.57</v>
      </c>
      <c r="G232" s="18">
        <v>610718.73</v>
      </c>
      <c r="H232" s="18"/>
      <c r="I232" s="18">
        <v>65079.07</v>
      </c>
      <c r="J232" s="18">
        <v>14741.96</v>
      </c>
      <c r="K232" s="18"/>
      <c r="L232" s="19">
        <f>SUM(F232:K232)</f>
        <v>2056866.33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395306.43</v>
      </c>
      <c r="G233" s="18">
        <v>138269.07999999999</v>
      </c>
      <c r="H233" s="18">
        <f>133142.19-7617.37</f>
        <v>125524.82</v>
      </c>
      <c r="I233" s="18">
        <v>1163.1500000000001</v>
      </c>
      <c r="J233" s="18">
        <v>99.99</v>
      </c>
      <c r="K233" s="18"/>
      <c r="L233" s="19">
        <f>SUM(F233:K233)</f>
        <v>660363.47000000009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3875.96</v>
      </c>
      <c r="G234" s="18">
        <v>296.33999999999997</v>
      </c>
      <c r="H234" s="18">
        <v>33243.58</v>
      </c>
      <c r="I234" s="18">
        <v>14630.03</v>
      </c>
      <c r="J234" s="18"/>
      <c r="K234" s="18"/>
      <c r="L234" s="19">
        <f>SUM(F234:K234)</f>
        <v>52045.91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94316.25</v>
      </c>
      <c r="G235" s="18">
        <v>15217.99</v>
      </c>
      <c r="H235" s="18">
        <v>24934</v>
      </c>
      <c r="I235" s="18">
        <v>46127.51</v>
      </c>
      <c r="J235" s="18"/>
      <c r="K235" s="18">
        <f>1846.69+6554.5</f>
        <v>8401.19</v>
      </c>
      <c r="L235" s="19">
        <f>SUM(F235:K235)</f>
        <v>188996.94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105420.06</v>
      </c>
      <c r="G237" s="18">
        <v>38779.4</v>
      </c>
      <c r="H237" s="18">
        <v>111</v>
      </c>
      <c r="I237" s="18">
        <v>1841.94</v>
      </c>
      <c r="J237" s="18"/>
      <c r="K237" s="18">
        <v>150</v>
      </c>
      <c r="L237" s="19">
        <f t="shared" ref="L237:L243" si="4">SUM(F237:K237)</f>
        <v>146302.39999999999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149852.4</v>
      </c>
      <c r="G238" s="18">
        <v>70826.2</v>
      </c>
      <c r="H238" s="18">
        <v>26096.42</v>
      </c>
      <c r="I238" s="18">
        <v>28501.82</v>
      </c>
      <c r="J238" s="18">
        <v>65018.94</v>
      </c>
      <c r="K238" s="18">
        <v>10533.36</v>
      </c>
      <c r="L238" s="19">
        <f t="shared" si="4"/>
        <v>350829.13999999996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95089.15</v>
      </c>
      <c r="G239" s="18">
        <v>32985.949999999997</v>
      </c>
      <c r="H239" s="18">
        <v>8426.09</v>
      </c>
      <c r="I239" s="18">
        <v>5416.22</v>
      </c>
      <c r="J239" s="18">
        <v>2226.7800000000002</v>
      </c>
      <c r="K239" s="18">
        <f>1490.55+8052.08+718.01</f>
        <v>10260.64</v>
      </c>
      <c r="L239" s="19">
        <f t="shared" si="4"/>
        <v>154404.83000000002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182026.78</v>
      </c>
      <c r="G240" s="18">
        <v>83208.86</v>
      </c>
      <c r="H240" s="18">
        <v>13901.12</v>
      </c>
      <c r="I240" s="18">
        <v>1140.07</v>
      </c>
      <c r="J240" s="18">
        <v>728.17</v>
      </c>
      <c r="K240" s="18">
        <v>6676.14</v>
      </c>
      <c r="L240" s="19">
        <f t="shared" si="4"/>
        <v>287681.14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190920.54</v>
      </c>
      <c r="G242" s="18">
        <v>116150.12</v>
      </c>
      <c r="H242" s="18">
        <v>85515.58</v>
      </c>
      <c r="I242" s="18">
        <v>118501.26</v>
      </c>
      <c r="J242" s="18"/>
      <c r="K242" s="18"/>
      <c r="L242" s="19">
        <f t="shared" si="4"/>
        <v>511087.50000000006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201844.67+7617.37</f>
        <v>209462.04</v>
      </c>
      <c r="I243" s="18">
        <v>238.42</v>
      </c>
      <c r="J243" s="18"/>
      <c r="K243" s="18"/>
      <c r="L243" s="19">
        <f t="shared" si="4"/>
        <v>209700.46000000002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2583134.1399999997</v>
      </c>
      <c r="G246" s="41">
        <f t="shared" si="5"/>
        <v>1106452.67</v>
      </c>
      <c r="H246" s="41">
        <f t="shared" si="5"/>
        <v>527214.65</v>
      </c>
      <c r="I246" s="41">
        <f t="shared" si="5"/>
        <v>282639.49</v>
      </c>
      <c r="J246" s="41">
        <f t="shared" si="5"/>
        <v>82815.839999999997</v>
      </c>
      <c r="K246" s="41">
        <f t="shared" si="5"/>
        <v>36021.33</v>
      </c>
      <c r="L246" s="41">
        <f t="shared" si="5"/>
        <v>4618278.120000001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19027.62</v>
      </c>
      <c r="G252" s="18">
        <v>2569.64</v>
      </c>
      <c r="H252" s="18"/>
      <c r="I252" s="18">
        <v>2433.6999999999998</v>
      </c>
      <c r="J252" s="18">
        <v>9333.7099999999991</v>
      </c>
      <c r="K252" s="18"/>
      <c r="L252" s="19">
        <f t="shared" si="6"/>
        <v>33364.67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19027.62</v>
      </c>
      <c r="G255" s="41">
        <f t="shared" si="7"/>
        <v>2569.64</v>
      </c>
      <c r="H255" s="41">
        <f t="shared" si="7"/>
        <v>0</v>
      </c>
      <c r="I255" s="41">
        <f t="shared" si="7"/>
        <v>2433.6999999999998</v>
      </c>
      <c r="J255" s="41">
        <f t="shared" si="7"/>
        <v>9333.7099999999991</v>
      </c>
      <c r="K255" s="41">
        <f t="shared" si="7"/>
        <v>0</v>
      </c>
      <c r="L255" s="41">
        <f>SUM(F255:K255)</f>
        <v>33364.67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7125252.8499999996</v>
      </c>
      <c r="G256" s="41">
        <f t="shared" si="8"/>
        <v>2921791.28</v>
      </c>
      <c r="H256" s="41">
        <f t="shared" si="8"/>
        <v>1255601.4300000002</v>
      </c>
      <c r="I256" s="41">
        <f t="shared" si="8"/>
        <v>701386.44</v>
      </c>
      <c r="J256" s="41">
        <f t="shared" si="8"/>
        <v>182049.93</v>
      </c>
      <c r="K256" s="41">
        <f t="shared" si="8"/>
        <v>66698.17</v>
      </c>
      <c r="L256" s="41">
        <f t="shared" si="8"/>
        <v>12252780.1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777689</v>
      </c>
      <c r="L259" s="19">
        <f>SUM(F259:K259)</f>
        <v>777689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198348</v>
      </c>
      <c r="L260" s="19">
        <f>SUM(F260:K260)</f>
        <v>198348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75000</v>
      </c>
      <c r="L265" s="19">
        <f t="shared" si="9"/>
        <v>75000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1051037</v>
      </c>
      <c r="L269" s="41">
        <f t="shared" si="9"/>
        <v>1051037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7125252.8499999996</v>
      </c>
      <c r="G270" s="42">
        <f t="shared" si="11"/>
        <v>2921791.28</v>
      </c>
      <c r="H270" s="42">
        <f t="shared" si="11"/>
        <v>1255601.4300000002</v>
      </c>
      <c r="I270" s="42">
        <f t="shared" si="11"/>
        <v>701386.44</v>
      </c>
      <c r="J270" s="42">
        <f t="shared" si="11"/>
        <v>182049.93</v>
      </c>
      <c r="K270" s="42">
        <f t="shared" si="11"/>
        <v>1117735.17</v>
      </c>
      <c r="L270" s="42">
        <f t="shared" si="11"/>
        <v>13303817.1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71412.87</f>
        <v>71412.87</v>
      </c>
      <c r="G275" s="18">
        <f>1760.4+5002.93+3643.15</f>
        <v>10406.48</v>
      </c>
      <c r="H275" s="18">
        <f>7822.17</f>
        <v>7822.17</v>
      </c>
      <c r="I275" s="18"/>
      <c r="J275" s="18"/>
      <c r="K275" s="18"/>
      <c r="L275" s="19">
        <f>SUM(F275:K275)</f>
        <v>89641.51999999999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2423.5</v>
      </c>
      <c r="G276" s="18"/>
      <c r="H276" s="18"/>
      <c r="I276" s="18"/>
      <c r="J276" s="18"/>
      <c r="K276" s="18"/>
      <c r="L276" s="19">
        <f>SUM(F276:K276)</f>
        <v>2423.5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73836.37</v>
      </c>
      <c r="G289" s="42">
        <f t="shared" si="13"/>
        <v>10406.48</v>
      </c>
      <c r="H289" s="42">
        <f t="shared" si="13"/>
        <v>7822.17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92065.01999999999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21102.12</f>
        <v>21102.12</v>
      </c>
      <c r="G294" s="18">
        <f>1614.34</f>
        <v>1614.34</v>
      </c>
      <c r="H294" s="18"/>
      <c r="I294" s="18"/>
      <c r="J294" s="18"/>
      <c r="K294" s="18"/>
      <c r="L294" s="19">
        <f>SUM(F294:K294)</f>
        <v>22716.46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v>25529.29</v>
      </c>
      <c r="I300" s="18">
        <v>827</v>
      </c>
      <c r="J300" s="18"/>
      <c r="K300" s="18"/>
      <c r="L300" s="19">
        <f t="shared" si="14"/>
        <v>26356.29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>SUM(F275:F307)</f>
        <v>168774.86</v>
      </c>
      <c r="G308" s="42">
        <f>SUM(G275:G307)</f>
        <v>22427.3</v>
      </c>
      <c r="H308" s="42">
        <f>SUM(H275:H307)</f>
        <v>41173.630000000005</v>
      </c>
      <c r="I308" s="42">
        <f>SUM(I294:I307)</f>
        <v>827</v>
      </c>
      <c r="J308" s="42">
        <f>SUM(J294:J307)</f>
        <v>0</v>
      </c>
      <c r="K308" s="42">
        <f>SUM(K294:K307)</f>
        <v>0</v>
      </c>
      <c r="L308" s="41">
        <f>SUM(L294:L307)</f>
        <v>49072.75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87169.56</v>
      </c>
      <c r="G314" s="18">
        <f>17859.31+5946.48+6563.62</f>
        <v>30369.41</v>
      </c>
      <c r="H314" s="18">
        <v>20457.03</v>
      </c>
      <c r="I314" s="18"/>
      <c r="J314" s="18"/>
      <c r="K314" s="18"/>
      <c r="L314" s="19">
        <f>SUM(F314:K314)</f>
        <v>137996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5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5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5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5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5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5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5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6">SUM(F313:F326)</f>
        <v>87169.56</v>
      </c>
      <c r="G327" s="42">
        <f t="shared" si="16"/>
        <v>30369.41</v>
      </c>
      <c r="H327" s="42">
        <f t="shared" si="16"/>
        <v>20457.03</v>
      </c>
      <c r="I327" s="42">
        <f t="shared" si="16"/>
        <v>0</v>
      </c>
      <c r="J327" s="42">
        <f t="shared" si="16"/>
        <v>0</v>
      </c>
      <c r="K327" s="42">
        <f t="shared" si="16"/>
        <v>0</v>
      </c>
      <c r="L327" s="41">
        <f t="shared" si="16"/>
        <v>137996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7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7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7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7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7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8">SUM(F331:F335)</f>
        <v>0</v>
      </c>
      <c r="G336" s="41">
        <f t="shared" si="18"/>
        <v>0</v>
      </c>
      <c r="H336" s="41">
        <f t="shared" si="18"/>
        <v>0</v>
      </c>
      <c r="I336" s="41">
        <f t="shared" si="18"/>
        <v>0</v>
      </c>
      <c r="J336" s="41">
        <f t="shared" si="18"/>
        <v>0</v>
      </c>
      <c r="K336" s="41">
        <f t="shared" si="18"/>
        <v>0</v>
      </c>
      <c r="L336" s="41">
        <f t="shared" si="17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19">F289+F308+F327+F336</f>
        <v>329780.78999999998</v>
      </c>
      <c r="G337" s="41">
        <f t="shared" si="19"/>
        <v>63203.19</v>
      </c>
      <c r="H337" s="41">
        <f t="shared" si="19"/>
        <v>69452.83</v>
      </c>
      <c r="I337" s="41">
        <f t="shared" si="19"/>
        <v>827</v>
      </c>
      <c r="J337" s="41">
        <f t="shared" si="19"/>
        <v>0</v>
      </c>
      <c r="K337" s="41">
        <f t="shared" si="19"/>
        <v>0</v>
      </c>
      <c r="L337" s="41">
        <f t="shared" si="19"/>
        <v>279133.77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0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0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0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0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0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0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329780.78999999998</v>
      </c>
      <c r="G351" s="41">
        <f>G337</f>
        <v>63203.19</v>
      </c>
      <c r="H351" s="41">
        <f>H337</f>
        <v>69452.83</v>
      </c>
      <c r="I351" s="41">
        <f>I337</f>
        <v>827</v>
      </c>
      <c r="J351" s="41">
        <f>J337</f>
        <v>0</v>
      </c>
      <c r="K351" s="47">
        <f>K337+K350</f>
        <v>0</v>
      </c>
      <c r="L351" s="41">
        <f>L337+L350</f>
        <v>279133.77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259191*0.5</f>
        <v>129595.5</v>
      </c>
      <c r="I357" s="18">
        <f>9910.26*0.5</f>
        <v>4955.13</v>
      </c>
      <c r="J357" s="18"/>
      <c r="K357" s="18"/>
      <c r="L357" s="13">
        <f>SUM(F357:K357)</f>
        <v>134550.63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f>259191-H357-H359</f>
        <v>44062.47</v>
      </c>
      <c r="I358" s="18">
        <f>9910.26-I357-I359</f>
        <v>1684.7442000000001</v>
      </c>
      <c r="J358" s="18"/>
      <c r="K358" s="18"/>
      <c r="L358" s="19">
        <f>SUM(F358:K358)</f>
        <v>45747.214200000002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f>259191*0.33</f>
        <v>85533.03</v>
      </c>
      <c r="I359" s="18">
        <f>9910.26*0.33</f>
        <v>3270.3858</v>
      </c>
      <c r="J359" s="18"/>
      <c r="K359" s="18"/>
      <c r="L359" s="19">
        <f>SUM(F359:K359)</f>
        <v>88803.415800000002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1">SUM(F357:F360)</f>
        <v>0</v>
      </c>
      <c r="G361" s="47">
        <f t="shared" si="21"/>
        <v>0</v>
      </c>
      <c r="H361" s="47">
        <f t="shared" si="21"/>
        <v>259191</v>
      </c>
      <c r="I361" s="47">
        <f t="shared" si="21"/>
        <v>9910.26</v>
      </c>
      <c r="J361" s="47">
        <f t="shared" si="21"/>
        <v>0</v>
      </c>
      <c r="K361" s="47">
        <f t="shared" si="21"/>
        <v>0</v>
      </c>
      <c r="L361" s="47">
        <f t="shared" si="21"/>
        <v>269101.26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I357</f>
        <v>4955.13</v>
      </c>
      <c r="G366" s="18">
        <f>I358</f>
        <v>1684.7442000000001</v>
      </c>
      <c r="H366" s="18">
        <f>I359</f>
        <v>3270.3858</v>
      </c>
      <c r="I366" s="56">
        <f>SUM(F366:H366)</f>
        <v>9910.26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4955.13</v>
      </c>
      <c r="G368" s="47">
        <f>SUM(G366:G367)</f>
        <v>1684.7442000000001</v>
      </c>
      <c r="H368" s="47">
        <f>SUM(H366:H367)</f>
        <v>3270.3858</v>
      </c>
      <c r="I368" s="47">
        <f>SUM(I366:I367)</f>
        <v>9910.26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2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2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2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2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2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2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2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3">SUM(G373:G380)</f>
        <v>0</v>
      </c>
      <c r="H381" s="139">
        <f t="shared" si="23"/>
        <v>0</v>
      </c>
      <c r="I381" s="41">
        <f t="shared" si="23"/>
        <v>0</v>
      </c>
      <c r="J381" s="47">
        <f t="shared" si="23"/>
        <v>0</v>
      </c>
      <c r="K381" s="47">
        <f t="shared" si="23"/>
        <v>0</v>
      </c>
      <c r="L381" s="47">
        <f t="shared" si="23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4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4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4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4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4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4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v>1068.24</v>
      </c>
      <c r="I394" s="18">
        <f>1626435.41-1068.24</f>
        <v>1625367.17</v>
      </c>
      <c r="J394" s="24" t="s">
        <v>289</v>
      </c>
      <c r="K394" s="24" t="s">
        <v>289</v>
      </c>
      <c r="L394" s="56">
        <f t="shared" ref="L394:L399" si="25">SUM(F394:K394)</f>
        <v>1626435.41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0</v>
      </c>
      <c r="I395" s="18"/>
      <c r="J395" s="24" t="s">
        <v>289</v>
      </c>
      <c r="K395" s="24" t="s">
        <v>289</v>
      </c>
      <c r="L395" s="56">
        <f t="shared" si="25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75000</v>
      </c>
      <c r="H396" s="18">
        <v>1072</v>
      </c>
      <c r="I396" s="18"/>
      <c r="J396" s="24" t="s">
        <v>289</v>
      </c>
      <c r="K396" s="24" t="s">
        <v>289</v>
      </c>
      <c r="L396" s="56">
        <f t="shared" si="25"/>
        <v>76072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5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5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5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75000</v>
      </c>
      <c r="H400" s="47">
        <f>SUM(H394:H399)</f>
        <v>2140.2399999999998</v>
      </c>
      <c r="I400" s="47">
        <f>SUM(I394:I399)</f>
        <v>1625367.17</v>
      </c>
      <c r="J400" s="45" t="s">
        <v>289</v>
      </c>
      <c r="K400" s="45" t="s">
        <v>289</v>
      </c>
      <c r="L400" s="47">
        <f>SUM(L394:L399)</f>
        <v>1702507.41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75000</v>
      </c>
      <c r="H407" s="47">
        <f>H392+H400+H406</f>
        <v>2140.2399999999998</v>
      </c>
      <c r="I407" s="47">
        <f>I392+I400+I406</f>
        <v>1625367.17</v>
      </c>
      <c r="J407" s="24" t="s">
        <v>289</v>
      </c>
      <c r="K407" s="24" t="s">
        <v>289</v>
      </c>
      <c r="L407" s="47">
        <f>L392+L400+L406</f>
        <v>1702507.41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6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6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6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6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6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6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7">SUM(F412:F417)</f>
        <v>0</v>
      </c>
      <c r="G418" s="139">
        <f t="shared" si="27"/>
        <v>0</v>
      </c>
      <c r="H418" s="139">
        <f t="shared" si="27"/>
        <v>0</v>
      </c>
      <c r="I418" s="139">
        <f t="shared" si="27"/>
        <v>0</v>
      </c>
      <c r="J418" s="139">
        <f t="shared" si="27"/>
        <v>0</v>
      </c>
      <c r="K418" s="139">
        <f t="shared" si="27"/>
        <v>0</v>
      </c>
      <c r="L418" s="47">
        <f t="shared" si="27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>
        <v>1565182.27</v>
      </c>
      <c r="H420" s="18"/>
      <c r="I420" s="18"/>
      <c r="J420" s="18"/>
      <c r="K420" s="18"/>
      <c r="L420" s="56">
        <f t="shared" ref="L420:L425" si="28">SUM(F420:K420)</f>
        <v>1565182.27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50000</v>
      </c>
      <c r="I421" s="18"/>
      <c r="J421" s="18"/>
      <c r="K421" s="18"/>
      <c r="L421" s="56">
        <f t="shared" si="28"/>
        <v>50000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8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8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8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8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29">SUM(F420:F425)</f>
        <v>0</v>
      </c>
      <c r="G426" s="47">
        <f t="shared" si="29"/>
        <v>1565182.27</v>
      </c>
      <c r="H426" s="47">
        <f t="shared" si="29"/>
        <v>50000</v>
      </c>
      <c r="I426" s="47">
        <f t="shared" si="29"/>
        <v>0</v>
      </c>
      <c r="J426" s="47">
        <f t="shared" si="29"/>
        <v>0</v>
      </c>
      <c r="K426" s="47">
        <f t="shared" si="29"/>
        <v>0</v>
      </c>
      <c r="L426" s="47">
        <f t="shared" si="29"/>
        <v>1615182.27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0">SUM(F428:F431)</f>
        <v>0</v>
      </c>
      <c r="G432" s="47">
        <f t="shared" si="30"/>
        <v>0</v>
      </c>
      <c r="H432" s="47">
        <f t="shared" si="30"/>
        <v>0</v>
      </c>
      <c r="I432" s="47">
        <f t="shared" si="30"/>
        <v>0</v>
      </c>
      <c r="J432" s="47">
        <f t="shared" si="30"/>
        <v>0</v>
      </c>
      <c r="K432" s="47">
        <f t="shared" si="30"/>
        <v>0</v>
      </c>
      <c r="L432" s="47">
        <f t="shared" si="30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1">F418+F426+F432</f>
        <v>0</v>
      </c>
      <c r="G433" s="47">
        <f t="shared" si="31"/>
        <v>1565182.27</v>
      </c>
      <c r="H433" s="47">
        <f t="shared" si="31"/>
        <v>50000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1615182.27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2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f>256765+482903+514297.69+43295+15384-0.55</f>
        <v>1312644.1399999999</v>
      </c>
      <c r="H439" s="18"/>
      <c r="I439" s="56">
        <f t="shared" si="32"/>
        <v>1312644.1399999999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2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2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2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2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2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1312644.1399999999</v>
      </c>
      <c r="H445" s="13">
        <f>SUM(H438:H444)</f>
        <v>0</v>
      </c>
      <c r="I445" s="13">
        <f>SUM(I438:I444)</f>
        <v>1312644.1399999999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3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3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3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3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3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1312644.1399999999</v>
      </c>
      <c r="H458" s="18"/>
      <c r="I458" s="56">
        <f t="shared" si="33"/>
        <v>1312644.1399999999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1312644.1399999999</v>
      </c>
      <c r="H459" s="83">
        <f>SUM(H453:H458)</f>
        <v>0</v>
      </c>
      <c r="I459" s="83">
        <f>SUM(I453:I458)</f>
        <v>1312644.1399999999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1312644.1399999999</v>
      </c>
      <c r="H460" s="42">
        <f>H451+H459</f>
        <v>0</v>
      </c>
      <c r="I460" s="42">
        <f>I451+I459</f>
        <v>1312644.1399999999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576197.55000000005</v>
      </c>
      <c r="G464" s="18">
        <v>3240.54</v>
      </c>
      <c r="H464" s="18">
        <v>0</v>
      </c>
      <c r="I464" s="18">
        <v>0</v>
      </c>
      <c r="J464" s="18">
        <f>180693+532903+453044+43295+15384</f>
        <v>1225319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13334657.390000001</v>
      </c>
      <c r="G467" s="18">
        <v>269101.26</v>
      </c>
      <c r="H467" s="18">
        <v>279133.77</v>
      </c>
      <c r="I467" s="18"/>
      <c r="J467" s="18">
        <f>1626435.41+75000+1072</f>
        <v>1702507.41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13334657.390000001</v>
      </c>
      <c r="G469" s="53">
        <f>SUM(G467:G468)</f>
        <v>269101.26</v>
      </c>
      <c r="H469" s="53">
        <f>SUM(H467:H468)</f>
        <v>279133.77</v>
      </c>
      <c r="I469" s="53">
        <f>SUM(I467:I468)</f>
        <v>0</v>
      </c>
      <c r="J469" s="53">
        <f>SUM(J467:J468)</f>
        <v>1702507.41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13303817.1</v>
      </c>
      <c r="G471" s="18">
        <v>269101.26</v>
      </c>
      <c r="H471" s="18">
        <v>279133.77</v>
      </c>
      <c r="I471" s="18"/>
      <c r="J471" s="18">
        <f>1565182.27+50000</f>
        <v>1615182.27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13303817.1</v>
      </c>
      <c r="G473" s="53">
        <f>SUM(G471:G472)</f>
        <v>269101.26</v>
      </c>
      <c r="H473" s="53">
        <f>SUM(H471:H472)</f>
        <v>279133.77</v>
      </c>
      <c r="I473" s="53">
        <f>SUM(I471:I472)</f>
        <v>0</v>
      </c>
      <c r="J473" s="53">
        <f>SUM(J471:J472)</f>
        <v>1615182.27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607037.84000000171</v>
      </c>
      <c r="G475" s="53">
        <f>(G464+G469)- G473</f>
        <v>3240.539999999979</v>
      </c>
      <c r="H475" s="53">
        <f>(H464+H469)- H473</f>
        <v>0</v>
      </c>
      <c r="I475" s="53">
        <f>(I464+I469)- I473</f>
        <v>0</v>
      </c>
      <c r="J475" s="53">
        <f>(J464+J469)- J473</f>
        <v>1312644.1400000001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11362231</v>
      </c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3.98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4524718.21</v>
      </c>
      <c r="G494" s="18"/>
      <c r="H494" s="18"/>
      <c r="I494" s="18"/>
      <c r="J494" s="18"/>
      <c r="K494" s="53">
        <f>SUM(F494:J494)</f>
        <v>4524718.21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4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777689</v>
      </c>
      <c r="G496" s="18"/>
      <c r="H496" s="18"/>
      <c r="I496" s="18"/>
      <c r="J496" s="18"/>
      <c r="K496" s="53">
        <f t="shared" si="34"/>
        <v>777689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F494-777689</f>
        <v>3747029.21</v>
      </c>
      <c r="G497" s="204"/>
      <c r="H497" s="204"/>
      <c r="I497" s="204"/>
      <c r="J497" s="204"/>
      <c r="K497" s="205">
        <f t="shared" si="34"/>
        <v>3747029.21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166514+133974+100127+65125+28303</f>
        <v>494043</v>
      </c>
      <c r="G498" s="18"/>
      <c r="H498" s="18"/>
      <c r="I498" s="18"/>
      <c r="J498" s="18"/>
      <c r="K498" s="53">
        <f t="shared" si="34"/>
        <v>494043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4241072.21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4"/>
        <v>4241072.21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809522</v>
      </c>
      <c r="G500" s="204"/>
      <c r="H500" s="204"/>
      <c r="I500" s="204"/>
      <c r="J500" s="204"/>
      <c r="K500" s="205">
        <f t="shared" si="34"/>
        <v>809522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166514</v>
      </c>
      <c r="G501" s="18"/>
      <c r="H501" s="18"/>
      <c r="I501" s="18"/>
      <c r="J501" s="18"/>
      <c r="K501" s="53">
        <f t="shared" si="34"/>
        <v>166514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976036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4"/>
        <v>976036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274">
        <v>625770</v>
      </c>
      <c r="G520" s="274">
        <v>222029.71999999997</v>
      </c>
      <c r="H520" s="274"/>
      <c r="I520" s="274">
        <v>6198.04</v>
      </c>
      <c r="J520" s="274">
        <v>4051.95</v>
      </c>
      <c r="K520" s="18"/>
      <c r="L520" s="88">
        <f>SUM(F520:K520)</f>
        <v>858049.71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274">
        <v>203709.27</v>
      </c>
      <c r="G521" s="274">
        <v>73342.176400000011</v>
      </c>
      <c r="H521" s="274">
        <v>81507.199999999997</v>
      </c>
      <c r="I521" s="274">
        <v>2402.16</v>
      </c>
      <c r="J521" s="274">
        <v>625.69000000000005</v>
      </c>
      <c r="K521" s="18"/>
      <c r="L521" s="88">
        <f>SUM(F521:K521)</f>
        <v>361586.4964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274">
        <v>439384.58999999997</v>
      </c>
      <c r="G522" s="274">
        <v>152038.14359999998</v>
      </c>
      <c r="H522" s="274">
        <v>49416.9</v>
      </c>
      <c r="I522" s="274">
        <v>1163.1500000000001</v>
      </c>
      <c r="J522" s="274">
        <v>99.99</v>
      </c>
      <c r="K522" s="18"/>
      <c r="L522" s="88">
        <f>SUM(F522:K522)</f>
        <v>642102.77359999996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1268863.8599999999</v>
      </c>
      <c r="G523" s="108">
        <f t="shared" ref="G523:L523" si="35">SUM(G520:G522)</f>
        <v>447410.03999999992</v>
      </c>
      <c r="H523" s="108">
        <f>SUM(H520:H522)</f>
        <v>130924.1</v>
      </c>
      <c r="I523" s="108">
        <f t="shared" si="35"/>
        <v>9763.35</v>
      </c>
      <c r="J523" s="108">
        <f t="shared" si="35"/>
        <v>4777.6299999999992</v>
      </c>
      <c r="K523" s="108">
        <f t="shared" si="35"/>
        <v>0</v>
      </c>
      <c r="L523" s="89">
        <f t="shared" si="35"/>
        <v>1861738.98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275">
        <v>84086.54</v>
      </c>
      <c r="I525" s="275"/>
      <c r="J525" s="275"/>
      <c r="K525" s="275">
        <v>2332.5</v>
      </c>
      <c r="L525" s="88">
        <f>SUM(F525:K525)</f>
        <v>86419.04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275">
        <v>49653.150000000009</v>
      </c>
      <c r="I526" s="275"/>
      <c r="J526" s="275"/>
      <c r="K526" s="275"/>
      <c r="L526" s="88">
        <f>SUM(F526:K526)</f>
        <v>49653.150000000009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275">
        <v>96564.950000000012</v>
      </c>
      <c r="I527" s="275"/>
      <c r="J527" s="275"/>
      <c r="K527" s="275"/>
      <c r="L527" s="88">
        <f>SUM(F527:K527)</f>
        <v>96564.950000000012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6">SUM(G525:G527)</f>
        <v>0</v>
      </c>
      <c r="H528" s="89">
        <f>SUM(H525:H527)</f>
        <v>230304.64000000001</v>
      </c>
      <c r="I528" s="89">
        <f t="shared" si="36"/>
        <v>0</v>
      </c>
      <c r="J528" s="89">
        <f t="shared" si="36"/>
        <v>0</v>
      </c>
      <c r="K528" s="89">
        <f t="shared" si="36"/>
        <v>2332.5</v>
      </c>
      <c r="L528" s="89">
        <f t="shared" si="36"/>
        <v>232637.14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130580*0.5</f>
        <v>65290</v>
      </c>
      <c r="G530" s="18">
        <f>50304.08*0.5</f>
        <v>25152.04</v>
      </c>
      <c r="H530" s="18"/>
      <c r="I530" s="18"/>
      <c r="J530" s="18"/>
      <c r="K530" s="18"/>
      <c r="L530" s="88">
        <f>SUM(F530:K530)</f>
        <v>90442.040000000008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130580-F530-F532</f>
        <v>22198.6</v>
      </c>
      <c r="G531" s="18">
        <f>50304.08-G530-G532</f>
        <v>8551.6935999999987</v>
      </c>
      <c r="H531" s="18"/>
      <c r="I531" s="18"/>
      <c r="J531" s="18"/>
      <c r="K531" s="18"/>
      <c r="L531" s="88">
        <f>SUM(F531:K531)</f>
        <v>30750.293599999997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130580*0.33</f>
        <v>43091.4</v>
      </c>
      <c r="G532" s="18">
        <f>50304.08*0.33</f>
        <v>16600.346400000002</v>
      </c>
      <c r="H532" s="18"/>
      <c r="I532" s="18"/>
      <c r="J532" s="18"/>
      <c r="K532" s="18"/>
      <c r="L532" s="88">
        <f>SUM(F532:K532)</f>
        <v>59691.746400000004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130580</v>
      </c>
      <c r="G533" s="89">
        <f t="shared" ref="G533:L533" si="37">SUM(G530:G532)</f>
        <v>50304.08</v>
      </c>
      <c r="H533" s="89">
        <f t="shared" si="37"/>
        <v>0</v>
      </c>
      <c r="I533" s="89">
        <f t="shared" si="37"/>
        <v>0</v>
      </c>
      <c r="J533" s="89">
        <f t="shared" si="37"/>
        <v>0</v>
      </c>
      <c r="K533" s="89">
        <f t="shared" si="37"/>
        <v>0</v>
      </c>
      <c r="L533" s="89">
        <f t="shared" si="37"/>
        <v>180884.08000000002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8">SUM(G535:G537)</f>
        <v>0</v>
      </c>
      <c r="H538" s="89">
        <f t="shared" si="38"/>
        <v>0</v>
      </c>
      <c r="I538" s="89">
        <f t="shared" si="38"/>
        <v>0</v>
      </c>
      <c r="J538" s="89">
        <f t="shared" si="38"/>
        <v>0</v>
      </c>
      <c r="K538" s="89">
        <f t="shared" si="38"/>
        <v>0</v>
      </c>
      <c r="L538" s="89">
        <f t="shared" si="38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10935.11</v>
      </c>
      <c r="I540" s="18"/>
      <c r="J540" s="18"/>
      <c r="K540" s="18"/>
      <c r="L540" s="88">
        <f>SUM(F540:K540)</f>
        <v>10935.11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24600</v>
      </c>
      <c r="I541" s="18"/>
      <c r="J541" s="18"/>
      <c r="K541" s="18"/>
      <c r="L541" s="88">
        <f>SUM(F541:K541)</f>
        <v>24600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7617.37</v>
      </c>
      <c r="I542" s="18"/>
      <c r="J542" s="18"/>
      <c r="K542" s="18"/>
      <c r="L542" s="88">
        <f>SUM(F542:K542)</f>
        <v>7617.37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39">SUM(G540:G542)</f>
        <v>0</v>
      </c>
      <c r="H543" s="193">
        <f t="shared" si="39"/>
        <v>43152.480000000003</v>
      </c>
      <c r="I543" s="193">
        <f t="shared" si="39"/>
        <v>0</v>
      </c>
      <c r="J543" s="193">
        <f t="shared" si="39"/>
        <v>0</v>
      </c>
      <c r="K543" s="193">
        <f t="shared" si="39"/>
        <v>0</v>
      </c>
      <c r="L543" s="193">
        <f t="shared" si="39"/>
        <v>43152.480000000003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1399443.8599999999</v>
      </c>
      <c r="G544" s="89">
        <f t="shared" ref="G544:L544" si="40">G523+G528+G533+G538+G543</f>
        <v>497714.11999999994</v>
      </c>
      <c r="H544" s="89">
        <f t="shared" si="40"/>
        <v>404381.22</v>
      </c>
      <c r="I544" s="89">
        <f t="shared" si="40"/>
        <v>9763.35</v>
      </c>
      <c r="J544" s="89">
        <f t="shared" si="40"/>
        <v>4777.6299999999992</v>
      </c>
      <c r="K544" s="89">
        <f t="shared" si="40"/>
        <v>2332.5</v>
      </c>
      <c r="L544" s="89">
        <f t="shared" si="40"/>
        <v>2318412.6800000002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858049.71</v>
      </c>
      <c r="G548" s="87">
        <f>L525</f>
        <v>86419.04</v>
      </c>
      <c r="H548" s="87">
        <f>L530</f>
        <v>90442.040000000008</v>
      </c>
      <c r="I548" s="87">
        <f>L535</f>
        <v>0</v>
      </c>
      <c r="J548" s="87">
        <f>L540</f>
        <v>10935.11</v>
      </c>
      <c r="K548" s="87">
        <f>SUM(F548:J548)</f>
        <v>1045845.9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361586.4964</v>
      </c>
      <c r="G549" s="87">
        <f>L526</f>
        <v>49653.150000000009</v>
      </c>
      <c r="H549" s="87">
        <f>L531</f>
        <v>30750.293599999997</v>
      </c>
      <c r="I549" s="87">
        <f>L536</f>
        <v>0</v>
      </c>
      <c r="J549" s="87">
        <f>L541</f>
        <v>24600</v>
      </c>
      <c r="K549" s="87">
        <f>SUM(F549:J549)</f>
        <v>466589.94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642102.77359999996</v>
      </c>
      <c r="G550" s="87">
        <f>L527</f>
        <v>96564.950000000012</v>
      </c>
      <c r="H550" s="87">
        <f>L532</f>
        <v>59691.746400000004</v>
      </c>
      <c r="I550" s="87">
        <f>L537</f>
        <v>0</v>
      </c>
      <c r="J550" s="87">
        <f>L542</f>
        <v>7617.37</v>
      </c>
      <c r="K550" s="87">
        <f>SUM(F550:J550)</f>
        <v>805976.84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1">SUM(F548:F550)</f>
        <v>1861738.98</v>
      </c>
      <c r="G551" s="89">
        <f t="shared" si="41"/>
        <v>232637.14</v>
      </c>
      <c r="H551" s="89">
        <f t="shared" si="41"/>
        <v>180884.08000000002</v>
      </c>
      <c r="I551" s="89">
        <f t="shared" si="41"/>
        <v>0</v>
      </c>
      <c r="J551" s="89">
        <f t="shared" si="41"/>
        <v>43152.480000000003</v>
      </c>
      <c r="K551" s="89">
        <f t="shared" si="41"/>
        <v>2318412.6800000002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2">SUM(F556:F558)</f>
        <v>0</v>
      </c>
      <c r="G559" s="108">
        <f t="shared" si="42"/>
        <v>0</v>
      </c>
      <c r="H559" s="108">
        <f t="shared" si="42"/>
        <v>0</v>
      </c>
      <c r="I559" s="108">
        <f t="shared" si="42"/>
        <v>0</v>
      </c>
      <c r="J559" s="108">
        <f t="shared" si="42"/>
        <v>0</v>
      </c>
      <c r="K559" s="108">
        <f t="shared" si="42"/>
        <v>0</v>
      </c>
      <c r="L559" s="89">
        <f t="shared" si="42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36862.019999999997</v>
      </c>
      <c r="G561" s="18">
        <f>895+2819.96+4165.46</f>
        <v>7880.42</v>
      </c>
      <c r="H561" s="18"/>
      <c r="I561" s="18">
        <v>33.74</v>
      </c>
      <c r="J561" s="18"/>
      <c r="K561" s="18"/>
      <c r="L561" s="88">
        <f>SUM(F561:K561)</f>
        <v>44776.179999999993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18989.099999999999</v>
      </c>
      <c r="G562" s="18">
        <f>1452.62+2145.78</f>
        <v>3598.4</v>
      </c>
      <c r="H562" s="18"/>
      <c r="I562" s="18"/>
      <c r="J562" s="18"/>
      <c r="K562" s="18"/>
      <c r="L562" s="88">
        <f>SUM(F562:K562)</f>
        <v>22587.5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3">SUM(F561:F563)</f>
        <v>55851.119999999995</v>
      </c>
      <c r="G564" s="89">
        <f t="shared" si="43"/>
        <v>11478.82</v>
      </c>
      <c r="H564" s="89">
        <f t="shared" si="43"/>
        <v>0</v>
      </c>
      <c r="I564" s="89">
        <f t="shared" si="43"/>
        <v>33.74</v>
      </c>
      <c r="J564" s="89">
        <f t="shared" si="43"/>
        <v>0</v>
      </c>
      <c r="K564" s="89">
        <f t="shared" si="43"/>
        <v>0</v>
      </c>
      <c r="L564" s="89">
        <f t="shared" si="43"/>
        <v>67363.679999999993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4">SUM(G566:G568)</f>
        <v>0</v>
      </c>
      <c r="H569" s="193">
        <f t="shared" si="44"/>
        <v>0</v>
      </c>
      <c r="I569" s="193">
        <f t="shared" si="44"/>
        <v>0</v>
      </c>
      <c r="J569" s="193">
        <f t="shared" si="44"/>
        <v>0</v>
      </c>
      <c r="K569" s="193">
        <f t="shared" si="44"/>
        <v>0</v>
      </c>
      <c r="L569" s="193">
        <f t="shared" si="44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55851.119999999995</v>
      </c>
      <c r="G570" s="89">
        <f t="shared" ref="G570:L570" si="45">G559+G564+G569</f>
        <v>11478.82</v>
      </c>
      <c r="H570" s="89">
        <f t="shared" si="45"/>
        <v>0</v>
      </c>
      <c r="I570" s="89">
        <f t="shared" si="45"/>
        <v>33.74</v>
      </c>
      <c r="J570" s="89">
        <f t="shared" si="45"/>
        <v>0</v>
      </c>
      <c r="K570" s="89">
        <f t="shared" si="45"/>
        <v>0</v>
      </c>
      <c r="L570" s="89">
        <f t="shared" si="45"/>
        <v>67363.679999999993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6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6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6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6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6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>
        <v>81507.199999999997</v>
      </c>
      <c r="H581" s="18">
        <v>49416.9</v>
      </c>
      <c r="I581" s="87">
        <f t="shared" si="46"/>
        <v>130924.1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6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33243.58</v>
      </c>
      <c r="I583" s="87">
        <f t="shared" si="46"/>
        <v>33243.58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6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6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6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151560</v>
      </c>
      <c r="I590" s="18">
        <v>51931.13</v>
      </c>
      <c r="J590" s="18">
        <v>100832.26</v>
      </c>
      <c r="K590" s="104">
        <f t="shared" ref="K590:K596" si="47">SUM(H590:J590)</f>
        <v>304323.39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10935.11</v>
      </c>
      <c r="I591" s="18">
        <v>24600</v>
      </c>
      <c r="J591" s="18">
        <v>7617.37</v>
      </c>
      <c r="K591" s="104">
        <f t="shared" si="47"/>
        <v>43152.480000000003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67039.3</v>
      </c>
      <c r="K592" s="104">
        <f t="shared" si="47"/>
        <v>67039.3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16037.3</v>
      </c>
      <c r="J593" s="18">
        <v>27448.91</v>
      </c>
      <c r="K593" s="104">
        <f t="shared" si="47"/>
        <v>43486.21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10316.99+132.59</f>
        <v>10449.58</v>
      </c>
      <c r="I594" s="18">
        <f>1051.62+423.69</f>
        <v>1475.31</v>
      </c>
      <c r="J594" s="18">
        <f>6166.56+357.64</f>
        <v>6524.2000000000007</v>
      </c>
      <c r="K594" s="104">
        <f t="shared" si="47"/>
        <v>18449.09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7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347.59</v>
      </c>
      <c r="I596" s="18">
        <v>109.18</v>
      </c>
      <c r="J596" s="18">
        <v>238.42</v>
      </c>
      <c r="K596" s="104">
        <f t="shared" si="47"/>
        <v>695.18999999999994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173292.27999999997</v>
      </c>
      <c r="I597" s="108">
        <f>SUM(I590:I596)</f>
        <v>94152.92</v>
      </c>
      <c r="J597" s="108">
        <f>SUM(J590:J596)</f>
        <v>209700.46000000002</v>
      </c>
      <c r="K597" s="108">
        <f>SUM(K590:K596)</f>
        <v>477145.66000000003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65241.94</v>
      </c>
      <c r="I603" s="18">
        <v>29625.55</v>
      </c>
      <c r="J603" s="18">
        <v>87182.44</v>
      </c>
      <c r="K603" s="104">
        <f>SUM(H603:J603)</f>
        <v>182049.93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65241.94</v>
      </c>
      <c r="I604" s="108">
        <f>SUM(I601:I603)</f>
        <v>29625.55</v>
      </c>
      <c r="J604" s="108">
        <f>SUM(J601:J603)</f>
        <v>87182.44</v>
      </c>
      <c r="K604" s="108">
        <f>SUM(K601:K603)</f>
        <v>182049.93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19871.98</v>
      </c>
      <c r="G610" s="18">
        <v>3775.68</v>
      </c>
      <c r="H610" s="18"/>
      <c r="I610" s="18"/>
      <c r="J610" s="18"/>
      <c r="K610" s="18"/>
      <c r="L610" s="88">
        <f>SUM(F610:K610)</f>
        <v>23647.66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15092.21-F612</f>
        <v>5131.3513999999996</v>
      </c>
      <c r="G611" s="18">
        <f>2867.52-G612</f>
        <v>974.95679999999993</v>
      </c>
      <c r="H611" s="18"/>
      <c r="I611" s="18"/>
      <c r="J611" s="18"/>
      <c r="K611" s="18"/>
      <c r="L611" s="88">
        <f>SUM(F611:K611)</f>
        <v>6106.3081999999995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15092.21*0.66</f>
        <v>9960.8585999999996</v>
      </c>
      <c r="G612" s="18">
        <f>2867.52*0.66</f>
        <v>1892.5632000000001</v>
      </c>
      <c r="H612" s="18"/>
      <c r="I612" s="18"/>
      <c r="J612" s="18"/>
      <c r="K612" s="18"/>
      <c r="L612" s="88">
        <f>SUM(F612:K612)</f>
        <v>11853.4218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8">SUM(F610:F612)</f>
        <v>34964.19</v>
      </c>
      <c r="G613" s="108">
        <f t="shared" si="48"/>
        <v>6643.2000000000007</v>
      </c>
      <c r="H613" s="108">
        <f t="shared" si="48"/>
        <v>0</v>
      </c>
      <c r="I613" s="108">
        <f t="shared" si="48"/>
        <v>0</v>
      </c>
      <c r="J613" s="108">
        <f t="shared" si="48"/>
        <v>0</v>
      </c>
      <c r="K613" s="108">
        <f t="shared" si="48"/>
        <v>0</v>
      </c>
      <c r="L613" s="89">
        <f t="shared" si="48"/>
        <v>41607.39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834868.86</v>
      </c>
      <c r="H616" s="109">
        <f>SUM(F51)</f>
        <v>834868.86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47111.39</v>
      </c>
      <c r="H617" s="109">
        <f>SUM(G51)</f>
        <v>47111.39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115885.21</v>
      </c>
      <c r="H618" s="109">
        <f>SUM(H51)</f>
        <v>115885.20999999999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1312644.1399999999</v>
      </c>
      <c r="H620" s="109">
        <f>SUM(J51)</f>
        <v>1312644.1399999999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607037.84</v>
      </c>
      <c r="H621" s="109">
        <f>F475</f>
        <v>607037.84000000171</v>
      </c>
      <c r="I621" s="121" t="s">
        <v>101</v>
      </c>
      <c r="J621" s="109">
        <f t="shared" ref="J621:J654" si="49">G621-H621</f>
        <v>-1.7462298274040222E-9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3240.54</v>
      </c>
      <c r="H622" s="109">
        <f>G475</f>
        <v>3240.539999999979</v>
      </c>
      <c r="I622" s="121" t="s">
        <v>102</v>
      </c>
      <c r="J622" s="109">
        <f t="shared" si="49"/>
        <v>2.0918378140777349E-11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49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49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1312644.1399999999</v>
      </c>
      <c r="H625" s="109">
        <f>J475</f>
        <v>1312644.1400000001</v>
      </c>
      <c r="I625" s="140" t="s">
        <v>105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13334657.390000001</v>
      </c>
      <c r="H626" s="104">
        <f>SUM(F467)</f>
        <v>13334657.390000001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269101.26</v>
      </c>
      <c r="H627" s="104">
        <f>SUM(G467)</f>
        <v>269101.26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279133.77</v>
      </c>
      <c r="H628" s="104">
        <f>SUM(H467)</f>
        <v>279133.77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1702507.41</v>
      </c>
      <c r="H630" s="104">
        <f>SUM(J467)</f>
        <v>1702507.41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13303817.1</v>
      </c>
      <c r="H631" s="104">
        <f>SUM(F471)</f>
        <v>13303817.1</v>
      </c>
      <c r="I631" s="140" t="s">
        <v>111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279133.77</v>
      </c>
      <c r="H632" s="104">
        <f>SUM(H471)</f>
        <v>279133.77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9910.26</v>
      </c>
      <c r="H633" s="104">
        <f>I368</f>
        <v>9910.26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269101.26</v>
      </c>
      <c r="H634" s="104">
        <f>SUM(G471)</f>
        <v>269101.26</v>
      </c>
      <c r="I634" s="140" t="s">
        <v>114</v>
      </c>
      <c r="J634" s="109">
        <f t="shared" si="49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49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1702507.41</v>
      </c>
      <c r="H636" s="164">
        <f>SUM(J467)</f>
        <v>1702507.41</v>
      </c>
      <c r="I636" s="165" t="s">
        <v>110</v>
      </c>
      <c r="J636" s="151">
        <f t="shared" si="49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1615182.27</v>
      </c>
      <c r="H637" s="164">
        <f>SUM(J471)</f>
        <v>1615182.27</v>
      </c>
      <c r="I637" s="165" t="s">
        <v>117</v>
      </c>
      <c r="J637" s="151">
        <f t="shared" si="49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1312644.1399999999</v>
      </c>
      <c r="H639" s="104">
        <f>SUM(G460)</f>
        <v>1312644.1399999999</v>
      </c>
      <c r="I639" s="140" t="s">
        <v>858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1312644.1399999999</v>
      </c>
      <c r="H641" s="104">
        <f>SUM(I460)</f>
        <v>1312644.1399999999</v>
      </c>
      <c r="I641" s="140" t="s">
        <v>860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2140.2399999999998</v>
      </c>
      <c r="H643" s="104">
        <f>H407</f>
        <v>2140.2399999999998</v>
      </c>
      <c r="I643" s="140" t="s">
        <v>481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75000</v>
      </c>
      <c r="H644" s="104">
        <f>G407</f>
        <v>75000</v>
      </c>
      <c r="I644" s="140" t="s">
        <v>482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1702507.41</v>
      </c>
      <c r="H645" s="104">
        <f>L407</f>
        <v>1702507.41</v>
      </c>
      <c r="I645" s="140" t="s">
        <v>478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477145.66000000003</v>
      </c>
      <c r="H646" s="104">
        <f>L207+L225+L243</f>
        <v>477145.66000000003</v>
      </c>
      <c r="I646" s="140" t="s">
        <v>397</v>
      </c>
      <c r="J646" s="109">
        <f t="shared" si="49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182049.93</v>
      </c>
      <c r="H647" s="104">
        <f>(J256+J337)-(J254+J335)</f>
        <v>182049.93</v>
      </c>
      <c r="I647" s="140" t="s">
        <v>703</v>
      </c>
      <c r="J647" s="109">
        <f t="shared" si="49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173292.28</v>
      </c>
      <c r="H648" s="104">
        <f>H597</f>
        <v>173292.27999999997</v>
      </c>
      <c r="I648" s="140" t="s">
        <v>389</v>
      </c>
      <c r="J648" s="109">
        <f t="shared" si="49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94152.92</v>
      </c>
      <c r="H649" s="104">
        <f>I597</f>
        <v>94152.92</v>
      </c>
      <c r="I649" s="140" t="s">
        <v>390</v>
      </c>
      <c r="J649" s="109">
        <f t="shared" si="49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209700.46000000002</v>
      </c>
      <c r="H650" s="104">
        <f>J597</f>
        <v>209700.46000000002</v>
      </c>
      <c r="I650" s="140" t="s">
        <v>391</v>
      </c>
      <c r="J650" s="109">
        <f t="shared" si="49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49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49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49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75000</v>
      </c>
      <c r="H654" s="104">
        <f>K265+K346</f>
        <v>75000</v>
      </c>
      <c r="I654" s="140" t="s">
        <v>401</v>
      </c>
      <c r="J654" s="109">
        <f t="shared" si="49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5606980.1499999985</v>
      </c>
      <c r="G659" s="19">
        <f>(L228+L308+L358)</f>
        <v>2315592.7741999999</v>
      </c>
      <c r="H659" s="19">
        <f>(L246+L327+L359)</f>
        <v>4845077.5358000007</v>
      </c>
      <c r="I659" s="19">
        <f>SUM(F659:H659)</f>
        <v>12767650.459999999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82189</v>
      </c>
      <c r="G660" s="19">
        <f>(L358/IF(SUM(L357:L359)=0,1,SUM(L357:L359))*(SUM(G96:G109)))</f>
        <v>27944.260000000002</v>
      </c>
      <c r="H660" s="19">
        <f>(L359/IF(SUM(L357:L359)=0,1,SUM(L357:L359))*(SUM(G96:G109)))</f>
        <v>54244.740000000005</v>
      </c>
      <c r="I660" s="19">
        <f>SUM(F660:H660)</f>
        <v>164378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173292.28</v>
      </c>
      <c r="G661" s="19">
        <f>(L225+L305)-(J225+J305)</f>
        <v>94152.92</v>
      </c>
      <c r="H661" s="19">
        <f>(L243+L324)-(J243+J324)</f>
        <v>209700.46000000002</v>
      </c>
      <c r="I661" s="19">
        <f>SUM(F661:H661)</f>
        <v>477145.66000000003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88889.600000000006</v>
      </c>
      <c r="G662" s="199">
        <f>SUM(G574:G586)+SUM(I601:I603)+L611</f>
        <v>117239.0582</v>
      </c>
      <c r="H662" s="199">
        <f>SUM(H574:H586)+SUM(J601:J603)+L612</f>
        <v>181696.34180000002</v>
      </c>
      <c r="I662" s="19">
        <f>SUM(F662:H662)</f>
        <v>387825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5262609.2699999986</v>
      </c>
      <c r="G663" s="19">
        <f>G659-SUM(G660:G662)</f>
        <v>2076256.5359999998</v>
      </c>
      <c r="H663" s="19">
        <f>H659-SUM(H660:H662)</f>
        <v>4399435.9940000009</v>
      </c>
      <c r="I663" s="19">
        <f>I659-SUM(I660:I662)</f>
        <v>11738301.799999999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255.49</v>
      </c>
      <c r="G664" s="248">
        <v>93.63</v>
      </c>
      <c r="H664" s="248">
        <v>209.16</v>
      </c>
      <c r="I664" s="19">
        <f>SUM(F664:H664)</f>
        <v>558.28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20598.099999999999</v>
      </c>
      <c r="G666" s="19">
        <f>ROUND(G663/G664,2)</f>
        <v>22175.119999999999</v>
      </c>
      <c r="H666" s="19">
        <f>ROUND(H663/H664,2)</f>
        <v>21033.83</v>
      </c>
      <c r="I666" s="19">
        <f>ROUND(I663/I664,2)</f>
        <v>21025.83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-4.62</v>
      </c>
      <c r="I669" s="19">
        <f>SUM(F669:H669)</f>
        <v>-4.62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20598.099999999999</v>
      </c>
      <c r="G671" s="19">
        <f>ROUND((G663+G668)/(G664+G669),2)</f>
        <v>22175.119999999999</v>
      </c>
      <c r="H671" s="19">
        <f>ROUND((H663+H668)/(H664+H669),2)</f>
        <v>21508.93</v>
      </c>
      <c r="I671" s="19">
        <f>ROUND((I663+I668)/(I664+I669),2)</f>
        <v>21201.279999999999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9" sqref="B19: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Moultonborough SD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'DOE25'!F196+'DOE25'!F214+'DOE25'!F232+'DOE25'!F294+'DOE25'!F275+'DOE25'!F313</f>
        <v>3861373.1000000006</v>
      </c>
      <c r="C9" s="229">
        <f>'DOE25'!G196+'DOE25'!G214+'DOE25'!G232+'DOE25'!G294+'DOE25'!G275+'DOE25'!G313</f>
        <v>1634806.49</v>
      </c>
    </row>
    <row r="10" spans="1:3" x14ac:dyDescent="0.2">
      <c r="A10" t="s">
        <v>779</v>
      </c>
      <c r="B10" s="272">
        <v>3488010.2800000003</v>
      </c>
      <c r="C10" s="272">
        <v>1546444.21642</v>
      </c>
    </row>
    <row r="11" spans="1:3" x14ac:dyDescent="0.2">
      <c r="A11" t="s">
        <v>780</v>
      </c>
      <c r="B11" s="272">
        <v>215776.86</v>
      </c>
      <c r="C11" s="272">
        <v>75755.39678000001</v>
      </c>
    </row>
    <row r="12" spans="1:3" x14ac:dyDescent="0.2">
      <c r="A12" t="s">
        <v>781</v>
      </c>
      <c r="B12" s="272">
        <v>157585.96000000002</v>
      </c>
      <c r="C12" s="272">
        <v>12606.876800000002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3861373.1</v>
      </c>
      <c r="C13" s="231">
        <f>SUM(C10:C12)</f>
        <v>1634806.49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1457718.48</v>
      </c>
      <c r="C18" s="229">
        <f>'DOE25'!G197+'DOE25'!G215+'DOE25'!G233+'DOE25'!G276+'DOE25'!G295+'DOE25'!G314</f>
        <v>509192.94</v>
      </c>
    </row>
    <row r="19" spans="1:3" x14ac:dyDescent="0.2">
      <c r="A19" t="s">
        <v>779</v>
      </c>
      <c r="B19" s="273">
        <v>882628.12</v>
      </c>
      <c r="C19" s="273">
        <v>322736.23771999998</v>
      </c>
    </row>
    <row r="20" spans="1:3" x14ac:dyDescent="0.2">
      <c r="A20" t="s">
        <v>780</v>
      </c>
      <c r="B20" s="273">
        <v>530332.93999999994</v>
      </c>
      <c r="C20" s="273">
        <v>171176.59862</v>
      </c>
    </row>
    <row r="21" spans="1:3" x14ac:dyDescent="0.2">
      <c r="A21" t="s">
        <v>781</v>
      </c>
      <c r="B21" s="273">
        <v>44757.42</v>
      </c>
      <c r="C21" s="273">
        <v>15280.103660000001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1457718.48</v>
      </c>
      <c r="C22" s="231">
        <f>SUM(C19:C21)</f>
        <v>509192.94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11745.8</v>
      </c>
      <c r="C27" s="234">
        <f>'DOE25'!G198+'DOE25'!G216+'DOE25'!G234+'DOE25'!G277+'DOE25'!G296+'DOE25'!G315</f>
        <v>2888.4800000000005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11745.8</v>
      </c>
      <c r="C30" s="240">
        <v>2888.48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11745.8</v>
      </c>
      <c r="C31" s="231">
        <f>SUM(C28:C30)</f>
        <v>2888.48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150218.03</v>
      </c>
      <c r="C36" s="235">
        <f>'DOE25'!G199+'DOE25'!G217+'DOE25'!G235+'DOE25'!G278+'DOE25'!G297+'DOE25'!G316</f>
        <v>24548.15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150218.03</v>
      </c>
      <c r="C39" s="240">
        <v>24548.15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150218.03</v>
      </c>
      <c r="C40" s="231">
        <f>SUM(C37:C39)</f>
        <v>24548.15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Moultonborough SD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8133576.3200000003</v>
      </c>
      <c r="D5" s="20">
        <f>SUM('DOE25'!L196:L199)+SUM('DOE25'!L214:L217)+SUM('DOE25'!L232:L235)-F5-G5</f>
        <v>8096532.1200000001</v>
      </c>
      <c r="E5" s="243"/>
      <c r="F5" s="255">
        <f>SUM('DOE25'!J196:J199)+SUM('DOE25'!J214:J217)+SUM('DOE25'!J232:J235)</f>
        <v>23778.51</v>
      </c>
      <c r="G5" s="53">
        <f>SUM('DOE25'!K196:K199)+SUM('DOE25'!K214:K217)+SUM('DOE25'!K232:K235)</f>
        <v>13265.69</v>
      </c>
      <c r="H5" s="259"/>
    </row>
    <row r="6" spans="1:9" x14ac:dyDescent="0.2">
      <c r="A6" s="32">
        <v>2100</v>
      </c>
      <c r="B6" t="s">
        <v>801</v>
      </c>
      <c r="C6" s="245">
        <f t="shared" si="0"/>
        <v>441423.41000000003</v>
      </c>
      <c r="D6" s="20">
        <f>'DOE25'!L201+'DOE25'!L219+'DOE25'!L237-F6-G6</f>
        <v>440280.65</v>
      </c>
      <c r="E6" s="243"/>
      <c r="F6" s="255">
        <f>'DOE25'!J201+'DOE25'!J219+'DOE25'!J237</f>
        <v>848.76</v>
      </c>
      <c r="G6" s="53">
        <f>'DOE25'!K201+'DOE25'!K219+'DOE25'!K237</f>
        <v>294</v>
      </c>
      <c r="H6" s="259"/>
    </row>
    <row r="7" spans="1:9" x14ac:dyDescent="0.2">
      <c r="A7" s="32">
        <v>2200</v>
      </c>
      <c r="B7" t="s">
        <v>834</v>
      </c>
      <c r="C7" s="245">
        <f t="shared" si="0"/>
        <v>873400.25999999989</v>
      </c>
      <c r="D7" s="20">
        <f>'DOE25'!L202+'DOE25'!L220+'DOE25'!L238-F7-G7</f>
        <v>714726.36</v>
      </c>
      <c r="E7" s="243"/>
      <c r="F7" s="255">
        <f>'DOE25'!J202+'DOE25'!J220+'DOE25'!J238</f>
        <v>137497.06</v>
      </c>
      <c r="G7" s="53">
        <f>'DOE25'!K202+'DOE25'!K220+'DOE25'!K238</f>
        <v>21176.84</v>
      </c>
      <c r="H7" s="259"/>
    </row>
    <row r="8" spans="1:9" x14ac:dyDescent="0.2">
      <c r="A8" s="32">
        <v>2300</v>
      </c>
      <c r="B8" t="s">
        <v>802</v>
      </c>
      <c r="C8" s="245">
        <f t="shared" si="0"/>
        <v>223163.31000000003</v>
      </c>
      <c r="D8" s="243"/>
      <c r="E8" s="20">
        <f>'DOE25'!L203+'DOE25'!L221+'DOE25'!L239-F8-G8-D9-D11</f>
        <v>195351.03000000003</v>
      </c>
      <c r="F8" s="255">
        <f>'DOE25'!J203+'DOE25'!J221+'DOE25'!J239</f>
        <v>2526.7800000000002</v>
      </c>
      <c r="G8" s="53">
        <f>'DOE25'!K203+'DOE25'!K221+'DOE25'!K239</f>
        <v>25285.5</v>
      </c>
      <c r="H8" s="259"/>
    </row>
    <row r="9" spans="1:9" x14ac:dyDescent="0.2">
      <c r="A9" s="32">
        <v>2310</v>
      </c>
      <c r="B9" t="s">
        <v>818</v>
      </c>
      <c r="C9" s="245">
        <f t="shared" si="0"/>
        <v>42611.16</v>
      </c>
      <c r="D9" s="244">
        <v>42611.16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7200</v>
      </c>
      <c r="D10" s="243"/>
      <c r="E10" s="244">
        <f>3600+1224+2376</f>
        <v>7200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219583</v>
      </c>
      <c r="D11" s="244">
        <f>146033+73550</f>
        <v>219583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595981.16999999993</v>
      </c>
      <c r="D12" s="20">
        <f>'DOE25'!L204+'DOE25'!L222+'DOE25'!L240-F12-G12</f>
        <v>586900.59999999986</v>
      </c>
      <c r="E12" s="243"/>
      <c r="F12" s="255">
        <f>'DOE25'!J204+'DOE25'!J222+'DOE25'!J240</f>
        <v>2404.4299999999998</v>
      </c>
      <c r="G12" s="53">
        <f>'DOE25'!K204+'DOE25'!K222+'DOE25'!K240</f>
        <v>6676.14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1212531.1400000001</v>
      </c>
      <c r="D14" s="20">
        <f>'DOE25'!L206+'DOE25'!L224+'DOE25'!L242-F14-G14</f>
        <v>1206870.4600000002</v>
      </c>
      <c r="E14" s="243"/>
      <c r="F14" s="255">
        <f>'DOE25'!J206+'DOE25'!J224+'DOE25'!J242</f>
        <v>5660.68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477145.66000000003</v>
      </c>
      <c r="D15" s="20">
        <f>'DOE25'!L207+'DOE25'!L225+'DOE25'!L243-F15-G15</f>
        <v>477145.66000000003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33364.67</v>
      </c>
      <c r="D19" s="20">
        <f>'DOE25'!L252-F19-G19</f>
        <v>24030.959999999999</v>
      </c>
      <c r="E19" s="243"/>
      <c r="F19" s="255">
        <f>'DOE25'!J252</f>
        <v>9333.7099999999991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976037</v>
      </c>
      <c r="D25" s="243"/>
      <c r="E25" s="243"/>
      <c r="F25" s="258"/>
      <c r="G25" s="256"/>
      <c r="H25" s="257">
        <f>'DOE25'!L259+'DOE25'!L260+'DOE25'!L340+'DOE25'!L341</f>
        <v>976037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259191</v>
      </c>
      <c r="D29" s="20">
        <f>'DOE25'!L357+'DOE25'!L358+'DOE25'!L359-'DOE25'!I366-F29-G29</f>
        <v>259191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279133.77</v>
      </c>
      <c r="D31" s="20">
        <f>'DOE25'!L289+'DOE25'!L308+'DOE25'!L327+'DOE25'!L332+'DOE25'!L333+'DOE25'!L334-F31-G31</f>
        <v>279133.77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12347005.74</v>
      </c>
      <c r="E33" s="246">
        <f>SUM(E5:E31)</f>
        <v>202551.03000000003</v>
      </c>
      <c r="F33" s="246">
        <f>SUM(F5:F31)</f>
        <v>182049.92999999996</v>
      </c>
      <c r="G33" s="246">
        <f>SUM(G5:G31)</f>
        <v>66698.17</v>
      </c>
      <c r="H33" s="246">
        <f>SUM(H5:H31)</f>
        <v>976037</v>
      </c>
    </row>
    <row r="35" spans="2:8" ht="12" thickBot="1" x14ac:dyDescent="0.25">
      <c r="B35" s="253" t="s">
        <v>847</v>
      </c>
      <c r="D35" s="254">
        <f>E33</f>
        <v>202551.03000000003</v>
      </c>
      <c r="E35" s="249"/>
    </row>
    <row r="36" spans="2:8" ht="12" thickTop="1" x14ac:dyDescent="0.2">
      <c r="B36" t="s">
        <v>815</v>
      </c>
      <c r="D36" s="20">
        <f>D33</f>
        <v>12347005.74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Moultonborough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753858.39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1312644.1399999999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80685.47</v>
      </c>
      <c r="D12" s="95">
        <f>'DOE25'!G13</f>
        <v>18442.89</v>
      </c>
      <c r="E12" s="95">
        <f>'DOE25'!H13</f>
        <v>115885.21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325</v>
      </c>
      <c r="D13" s="95">
        <f>'DOE25'!G14</f>
        <v>28668.5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834868.86</v>
      </c>
      <c r="D18" s="41">
        <f>SUM(D8:D17)</f>
        <v>47111.39</v>
      </c>
      <c r="E18" s="41">
        <f>SUM(E8:E17)</f>
        <v>115885.21</v>
      </c>
      <c r="F18" s="41">
        <f>SUM(F8:F17)</f>
        <v>0</v>
      </c>
      <c r="G18" s="41">
        <f>SUM(G8:G17)</f>
        <v>1312644.1399999999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219828.15</v>
      </c>
      <c r="D21" s="95">
        <f>'DOE25'!G22</f>
        <v>43870.85</v>
      </c>
      <c r="E21" s="95">
        <f>'DOE25'!H22</f>
        <v>103506.7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'DOE25'!F29</f>
        <v>8002.8700000000008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 t="e">
        <f>'DOE25'!#REF!</f>
        <v>#REF!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12378.51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 t="e">
        <f>SUM(C21:C30)</f>
        <v>#REF!</v>
      </c>
      <c r="D31" s="41">
        <f>SUM(D21:D30)</f>
        <v>43870.85</v>
      </c>
      <c r="E31" s="41">
        <f>SUM(E21:E30)</f>
        <v>115885.20999999999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100000</v>
      </c>
      <c r="D46" s="95">
        <f>'DOE25'!G47</f>
        <v>3240.54</v>
      </c>
      <c r="E46" s="95">
        <f>'DOE25'!H47</f>
        <v>0</v>
      </c>
      <c r="F46" s="95">
        <f>'DOE25'!I47</f>
        <v>0</v>
      </c>
      <c r="G46" s="95">
        <f>'DOE25'!J47</f>
        <v>1312644.1399999999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283978.71999999997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123059.12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607037.84</v>
      </c>
      <c r="D49" s="41">
        <f>SUM(D34:D48)</f>
        <v>3240.54</v>
      </c>
      <c r="E49" s="41">
        <f>SUM(E34:E48)</f>
        <v>0</v>
      </c>
      <c r="F49" s="41">
        <f>SUM(F34:F48)</f>
        <v>0</v>
      </c>
      <c r="G49" s="41">
        <f>SUM(G34:G48)</f>
        <v>1312644.1399999999</v>
      </c>
      <c r="H49" s="124"/>
      <c r="I49" s="124"/>
    </row>
    <row r="50" spans="1:9" ht="12" thickTop="1" x14ac:dyDescent="0.2">
      <c r="A50" s="38" t="s">
        <v>884</v>
      </c>
      <c r="B50" s="2"/>
      <c r="C50" s="41" t="e">
        <f>C49+C31</f>
        <v>#REF!</v>
      </c>
      <c r="D50" s="41">
        <f>D49+D31</f>
        <v>47111.39</v>
      </c>
      <c r="E50" s="41">
        <f>E49+E31</f>
        <v>115885.20999999999</v>
      </c>
      <c r="F50" s="41">
        <f>F49+F31</f>
        <v>0</v>
      </c>
      <c r="G50" s="41">
        <f>G49+G31</f>
        <v>1312644.1399999999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6036623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22591.9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142.41999999999999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2140.2399999999998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164378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3832.33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1625367.17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26566.65</v>
      </c>
      <c r="D61" s="130">
        <f>SUM(D56:D60)</f>
        <v>164378</v>
      </c>
      <c r="E61" s="130">
        <f>SUM(E56:E60)</f>
        <v>0</v>
      </c>
      <c r="F61" s="130">
        <f>SUM(F56:F60)</f>
        <v>0</v>
      </c>
      <c r="G61" s="130">
        <f>SUM(G56:G60)</f>
        <v>1627507.41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6063189.6500000004</v>
      </c>
      <c r="D62" s="22">
        <f>D55+D61</f>
        <v>164378</v>
      </c>
      <c r="E62" s="22">
        <f>E55+E61</f>
        <v>0</v>
      </c>
      <c r="F62" s="22">
        <f>F55+F61</f>
        <v>0</v>
      </c>
      <c r="G62" s="22">
        <f>G55+G61</f>
        <v>1627507.41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6901215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6901215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251832.25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21293.03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5929.32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600.12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279054.60000000003</v>
      </c>
      <c r="D77" s="130">
        <f>SUM(D71:D76)</f>
        <v>600.12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7180269.5999999996</v>
      </c>
      <c r="D80" s="130">
        <f>SUM(D78:D79)+D77+D69</f>
        <v>600.12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91198.14</v>
      </c>
      <c r="D87" s="95">
        <f>SUM('DOE25'!G152:G160)</f>
        <v>104123.14</v>
      </c>
      <c r="E87" s="95">
        <f>SUM('DOE25'!H152:H160)</f>
        <v>279133.77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91198.14</v>
      </c>
      <c r="D90" s="131">
        <f>SUM(D84:D89)</f>
        <v>104123.14</v>
      </c>
      <c r="E90" s="131">
        <f>SUM(E84:E89)</f>
        <v>279133.77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75000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75000</v>
      </c>
    </row>
    <row r="103" spans="1:7" ht="12.75" thickTop="1" thickBot="1" x14ac:dyDescent="0.25">
      <c r="A103" s="33" t="s">
        <v>765</v>
      </c>
      <c r="C103" s="86">
        <f>C62+C80+C90+C102</f>
        <v>13334657.390000001</v>
      </c>
      <c r="D103" s="86">
        <f>D62+D80+D90+D102</f>
        <v>269101.26</v>
      </c>
      <c r="E103" s="86">
        <f>E62+E80+E90+E102</f>
        <v>279133.77</v>
      </c>
      <c r="F103" s="86">
        <f>F62+F80+F90+F102</f>
        <v>0</v>
      </c>
      <c r="G103" s="86">
        <f>G62+G80+G102</f>
        <v>1702507.41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5584719.6699999999</v>
      </c>
      <c r="D108" s="24" t="s">
        <v>289</v>
      </c>
      <c r="E108" s="95">
        <f>('DOE25'!L275)+('DOE25'!L294)+('DOE25'!L313)</f>
        <v>112357.97999999998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2204627.88</v>
      </c>
      <c r="D109" s="24" t="s">
        <v>289</v>
      </c>
      <c r="E109" s="95">
        <f>('DOE25'!L276)+('DOE25'!L295)+('DOE25'!L314)</f>
        <v>140419.5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62912.850000000006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281315.92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33364.67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8166940.9899999993</v>
      </c>
      <c r="D114" s="86">
        <f>SUM(D108:D113)</f>
        <v>0</v>
      </c>
      <c r="E114" s="86">
        <f>SUM(E108:E113)</f>
        <v>252777.47999999998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441423.41000000003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873400.25999999989</v>
      </c>
      <c r="D118" s="24" t="s">
        <v>289</v>
      </c>
      <c r="E118" s="95">
        <f>+('DOE25'!L281)+('DOE25'!L300)+('DOE25'!L319)</f>
        <v>26356.29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485357.47000000003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595981.16999999993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1212531.1400000001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477145.66000000003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269101.26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4085839.11</v>
      </c>
      <c r="D127" s="86">
        <f>SUM(D117:D126)</f>
        <v>269101.26</v>
      </c>
      <c r="E127" s="86">
        <f>SUM(E117:E126)</f>
        <v>26356.29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777689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198348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1702507.41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-1627507.41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1051037.0000000002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13303817.1</v>
      </c>
      <c r="D144" s="86">
        <f>(D114+D127+D143)</f>
        <v>269101.26</v>
      </c>
      <c r="E144" s="86">
        <f>(E114+E127+E143)</f>
        <v>279133.76999999996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4/2003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1/2018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11362231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3.98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4524718.21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4524718.21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777689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777689</v>
      </c>
    </row>
    <row r="158" spans="1:9" x14ac:dyDescent="0.2">
      <c r="A158" s="22" t="s">
        <v>35</v>
      </c>
      <c r="B158" s="137">
        <f>'DOE25'!F497</f>
        <v>3747029.21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3747029.21</v>
      </c>
    </row>
    <row r="159" spans="1:9" x14ac:dyDescent="0.2">
      <c r="A159" s="22" t="s">
        <v>36</v>
      </c>
      <c r="B159" s="137">
        <f>'DOE25'!F498</f>
        <v>494043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494043</v>
      </c>
    </row>
    <row r="160" spans="1:9" x14ac:dyDescent="0.2">
      <c r="A160" s="22" t="s">
        <v>37</v>
      </c>
      <c r="B160" s="137">
        <f>'DOE25'!F499</f>
        <v>4241072.21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4241072.21</v>
      </c>
    </row>
    <row r="161" spans="1:7" x14ac:dyDescent="0.2">
      <c r="A161" s="22" t="s">
        <v>38</v>
      </c>
      <c r="B161" s="137">
        <f>'DOE25'!F500</f>
        <v>809522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809522</v>
      </c>
    </row>
    <row r="162" spans="1:7" x14ac:dyDescent="0.2">
      <c r="A162" s="22" t="s">
        <v>39</v>
      </c>
      <c r="B162" s="137">
        <f>'DOE25'!F501</f>
        <v>166514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166514</v>
      </c>
    </row>
    <row r="163" spans="1:7" x14ac:dyDescent="0.2">
      <c r="A163" s="22" t="s">
        <v>246</v>
      </c>
      <c r="B163" s="137">
        <f>'DOE25'!F502</f>
        <v>976036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976036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Moultonborough SD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20598</v>
      </c>
    </row>
    <row r="5" spans="1:4" x14ac:dyDescent="0.2">
      <c r="B5" t="s">
        <v>704</v>
      </c>
      <c r="C5" s="179">
        <f>IF('DOE25'!G664+'DOE25'!G669=0,0,ROUND('DOE25'!G671,0))</f>
        <v>22175</v>
      </c>
    </row>
    <row r="6" spans="1:4" x14ac:dyDescent="0.2">
      <c r="B6" t="s">
        <v>62</v>
      </c>
      <c r="C6" s="179">
        <f>IF('DOE25'!H664+'DOE25'!H669=0,0,ROUND('DOE25'!H671,0))</f>
        <v>21509</v>
      </c>
    </row>
    <row r="7" spans="1:4" x14ac:dyDescent="0.2">
      <c r="B7" t="s">
        <v>705</v>
      </c>
      <c r="C7" s="179">
        <f>IF('DOE25'!I664+'DOE25'!I669=0,0,ROUND('DOE25'!I671,0))</f>
        <v>21201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5697078</v>
      </c>
      <c r="D10" s="182">
        <f>ROUND((C10/$C$28)*100,1)</f>
        <v>44.4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2345047</v>
      </c>
      <c r="D11" s="182">
        <f>ROUND((C11/$C$28)*100,1)</f>
        <v>18.3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62913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281316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441423</v>
      </c>
      <c r="D15" s="182">
        <f t="shared" ref="D15:D27" si="0">ROUND((C15/$C$28)*100,1)</f>
        <v>3.4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899757</v>
      </c>
      <c r="D16" s="182">
        <f t="shared" si="0"/>
        <v>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485357</v>
      </c>
      <c r="D17" s="182">
        <f t="shared" si="0"/>
        <v>3.8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595981</v>
      </c>
      <c r="D18" s="182">
        <f t="shared" si="0"/>
        <v>4.5999999999999996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1212531</v>
      </c>
      <c r="D20" s="182">
        <f t="shared" si="0"/>
        <v>9.4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477146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33365</v>
      </c>
      <c r="D24" s="182">
        <f t="shared" si="0"/>
        <v>0.3</v>
      </c>
    </row>
    <row r="25" spans="1:4" x14ac:dyDescent="0.2">
      <c r="A25">
        <v>5120</v>
      </c>
      <c r="B25" t="s">
        <v>720</v>
      </c>
      <c r="C25" s="179">
        <f>ROUND('DOE25'!L260+'DOE25'!L341,0)</f>
        <v>198348</v>
      </c>
      <c r="D25" s="182">
        <f t="shared" si="0"/>
        <v>1.5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104723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12834985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12834985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777689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6036623</v>
      </c>
      <c r="D35" s="182">
        <f t="shared" ref="D35:D40" si="1">ROUND((C35/$C$41)*100,1)</f>
        <v>39.299999999999997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1654074.0600000005</v>
      </c>
      <c r="D36" s="182">
        <f t="shared" si="1"/>
        <v>10.8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6901215</v>
      </c>
      <c r="D37" s="182">
        <f t="shared" si="1"/>
        <v>45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279655</v>
      </c>
      <c r="D38" s="182">
        <f t="shared" si="1"/>
        <v>1.8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474455</v>
      </c>
      <c r="D39" s="182">
        <f t="shared" si="1"/>
        <v>3.1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15346022.060000001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Moultonborough SD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BB0A" sheet="1" objects="1" scenarios="1"/>
  <mergeCells count="223">
    <mergeCell ref="C46:M46"/>
    <mergeCell ref="GC40:GM40"/>
    <mergeCell ref="GP40:GZ40"/>
    <mergeCell ref="HC40:HM40"/>
    <mergeCell ref="C42:M42"/>
    <mergeCell ref="FC40:FM40"/>
    <mergeCell ref="FP40:FZ40"/>
    <mergeCell ref="AC40:AM40"/>
    <mergeCell ref="AP40:AZ40"/>
    <mergeCell ref="CC40:CM40"/>
    <mergeCell ref="CP40:CZ40"/>
    <mergeCell ref="P40:Z40"/>
    <mergeCell ref="BP40:BZ40"/>
    <mergeCell ref="C43:M43"/>
    <mergeCell ref="BC40:BM40"/>
    <mergeCell ref="C41:M41"/>
    <mergeCell ref="C40:M40"/>
    <mergeCell ref="HP40:HZ40"/>
    <mergeCell ref="EC40:EM40"/>
    <mergeCell ref="IP39:IV39"/>
    <mergeCell ref="EP39:EZ39"/>
    <mergeCell ref="FC39:FM39"/>
    <mergeCell ref="FP39:FZ39"/>
    <mergeCell ref="GP39:GZ39"/>
    <mergeCell ref="IP40:IV40"/>
    <mergeCell ref="C45:M45"/>
    <mergeCell ref="DC40:DM40"/>
    <mergeCell ref="EP40:EZ40"/>
    <mergeCell ref="C44:M44"/>
    <mergeCell ref="DP40:DZ40"/>
    <mergeCell ref="IC40:IM40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IC38:IM38"/>
    <mergeCell ref="EC39:EM39"/>
    <mergeCell ref="GC39:GM39"/>
    <mergeCell ref="BP39:BZ39"/>
    <mergeCell ref="CC39:CM39"/>
    <mergeCell ref="CP39:CZ39"/>
    <mergeCell ref="BC38:BM38"/>
    <mergeCell ref="BC39:BM39"/>
    <mergeCell ref="BP38:BZ38"/>
    <mergeCell ref="CC38:CM38"/>
    <mergeCell ref="P38:Z38"/>
    <mergeCell ref="AC38:AM38"/>
    <mergeCell ref="AP38:AZ38"/>
    <mergeCell ref="HP38:HZ38"/>
    <mergeCell ref="GC38:GM38"/>
    <mergeCell ref="GP38:GZ38"/>
    <mergeCell ref="HC38:HM38"/>
    <mergeCell ref="GP31:GZ31"/>
    <mergeCell ref="HC31:HM31"/>
    <mergeCell ref="GC30:GM30"/>
    <mergeCell ref="IP38:IV38"/>
    <mergeCell ref="CP38:CZ38"/>
    <mergeCell ref="DC38:DM38"/>
    <mergeCell ref="DP38:DZ38"/>
    <mergeCell ref="EC38:EM38"/>
    <mergeCell ref="HP32:HZ32"/>
    <mergeCell ref="IC32:IM32"/>
    <mergeCell ref="IP32:IV32"/>
    <mergeCell ref="EP38:EZ38"/>
    <mergeCell ref="FC38:FM38"/>
    <mergeCell ref="FP38:FZ38"/>
    <mergeCell ref="HC32:HM32"/>
    <mergeCell ref="GP32:GZ32"/>
    <mergeCell ref="BP31:BZ31"/>
    <mergeCell ref="CC31:CM31"/>
    <mergeCell ref="DC32:DM32"/>
    <mergeCell ref="BP32:BZ32"/>
    <mergeCell ref="CP31:CZ31"/>
    <mergeCell ref="IC31:IM31"/>
    <mergeCell ref="EC30:EM30"/>
    <mergeCell ref="EP30:EZ30"/>
    <mergeCell ref="DP32:DZ32"/>
    <mergeCell ref="EC32:EM32"/>
    <mergeCell ref="EP32:EZ32"/>
    <mergeCell ref="FC32:FM32"/>
    <mergeCell ref="FP32:FZ32"/>
    <mergeCell ref="GC32:GM32"/>
    <mergeCell ref="DC31:DM31"/>
    <mergeCell ref="DP31:DZ31"/>
    <mergeCell ref="EC31:EM31"/>
    <mergeCell ref="HP31:HZ31"/>
    <mergeCell ref="HP30:HZ30"/>
    <mergeCell ref="FC30:FM30"/>
    <mergeCell ref="FP30:FZ30"/>
    <mergeCell ref="FC31:FM31"/>
    <mergeCell ref="FP31:FZ31"/>
    <mergeCell ref="GC31:GM31"/>
    <mergeCell ref="AC31:AM31"/>
    <mergeCell ref="C35:M35"/>
    <mergeCell ref="C36:M36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EP31:EZ31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BC31:BM31"/>
    <mergeCell ref="BC32:BM32"/>
    <mergeCell ref="A1:I1"/>
    <mergeCell ref="C3:M3"/>
    <mergeCell ref="C4:M4"/>
    <mergeCell ref="F2:I2"/>
    <mergeCell ref="P29:Z29"/>
    <mergeCell ref="AC29:AM29"/>
    <mergeCell ref="C28:M28"/>
    <mergeCell ref="A2:E2"/>
    <mergeCell ref="C5:M5"/>
    <mergeCell ref="C6:M6"/>
    <mergeCell ref="C14:M14"/>
    <mergeCell ref="C15:M15"/>
    <mergeCell ref="C16:M16"/>
    <mergeCell ref="C17:M17"/>
    <mergeCell ref="C18:M18"/>
    <mergeCell ref="C19:M19"/>
    <mergeCell ref="C7:M7"/>
    <mergeCell ref="C8:M8"/>
    <mergeCell ref="C13:M13"/>
    <mergeCell ref="C9:M9"/>
    <mergeCell ref="C10:M10"/>
    <mergeCell ref="C11:M11"/>
    <mergeCell ref="C12:M12"/>
    <mergeCell ref="C20:M20"/>
    <mergeCell ref="DC29:DM29"/>
    <mergeCell ref="BC29:BM29"/>
    <mergeCell ref="BP29:BZ29"/>
    <mergeCell ref="CC29:CM29"/>
    <mergeCell ref="AP29:AZ29"/>
    <mergeCell ref="C21:M21"/>
    <mergeCell ref="C22:M22"/>
    <mergeCell ref="C23:M23"/>
    <mergeCell ref="C24:M24"/>
    <mergeCell ref="C25:M25"/>
    <mergeCell ref="C26:M26"/>
    <mergeCell ref="C27:M27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39:M39"/>
    <mergeCell ref="C29:M29"/>
    <mergeCell ref="AP31:AZ31"/>
    <mergeCell ref="AP32:AZ32"/>
    <mergeCell ref="P30:Z30"/>
    <mergeCell ref="AC30:AM30"/>
    <mergeCell ref="AP30:AZ30"/>
    <mergeCell ref="C33:M33"/>
    <mergeCell ref="C37:M37"/>
    <mergeCell ref="P32:Z32"/>
    <mergeCell ref="AC32:AM32"/>
    <mergeCell ref="C34:M34"/>
    <mergeCell ref="C32:M32"/>
    <mergeCell ref="C30:M30"/>
    <mergeCell ref="C31:M31"/>
    <mergeCell ref="P31:Z31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2013-10-11T19:02:31Z</cp:lastPrinted>
  <dcterms:created xsi:type="dcterms:W3CDTF">1997-12-04T19:04:30Z</dcterms:created>
  <dcterms:modified xsi:type="dcterms:W3CDTF">2013-12-05T18:53:37Z</dcterms:modified>
</cp:coreProperties>
</file>