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70" windowWidth="12735" windowHeight="62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47" i="1" l="1"/>
  <c r="I506" i="1" l="1"/>
  <c r="K345" i="1" l="1"/>
  <c r="I178" i="1"/>
  <c r="I467" i="1"/>
  <c r="I471" i="1"/>
  <c r="H86" i="1" l="1"/>
  <c r="G471" i="1"/>
  <c r="G467" i="1"/>
  <c r="G458" i="1"/>
  <c r="F458" i="1"/>
  <c r="H457" i="1"/>
  <c r="H456" i="1"/>
  <c r="H439" i="1"/>
  <c r="H438" i="1"/>
  <c r="G438" i="1"/>
  <c r="J425" i="1"/>
  <c r="I425" i="1"/>
  <c r="H425" i="1"/>
  <c r="F425" i="1"/>
  <c r="I402" i="1"/>
  <c r="H402" i="1"/>
  <c r="G157" i="1"/>
  <c r="G131" i="1"/>
  <c r="J101" i="1"/>
  <c r="H97" i="1"/>
  <c r="G96" i="1"/>
  <c r="H68" i="1"/>
  <c r="H65" i="1"/>
  <c r="H62" i="1"/>
  <c r="H47" i="1"/>
  <c r="G40" i="1"/>
  <c r="H14" i="1" l="1"/>
  <c r="H12" i="1"/>
  <c r="C37" i="10" l="1"/>
  <c r="F40" i="2" l="1"/>
  <c r="D39" i="2"/>
  <c r="G654" i="1"/>
  <c r="F47" i="2"/>
  <c r="E47" i="2"/>
  <c r="D47" i="2"/>
  <c r="C47" i="2"/>
  <c r="F46" i="2"/>
  <c r="F49" i="2" s="1"/>
  <c r="F50" i="2" s="1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G13" i="13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340" i="1"/>
  <c r="L341" i="1"/>
  <c r="L335" i="1"/>
  <c r="C11" i="13"/>
  <c r="C9" i="13"/>
  <c r="L360" i="1"/>
  <c r="B4" i="12"/>
  <c r="B1" i="12"/>
  <c r="L386" i="1"/>
  <c r="L387" i="1"/>
  <c r="L388" i="1"/>
  <c r="L389" i="1"/>
  <c r="L390" i="1"/>
  <c r="L391" i="1"/>
  <c r="L392" i="1" s="1"/>
  <c r="C137" i="2" s="1"/>
  <c r="L394" i="1"/>
  <c r="L395" i="1"/>
  <c r="L396" i="1"/>
  <c r="L397" i="1"/>
  <c r="L398" i="1"/>
  <c r="L399" i="1"/>
  <c r="L402" i="1"/>
  <c r="L403" i="1"/>
  <c r="L404" i="1"/>
  <c r="L405" i="1"/>
  <c r="J59" i="1"/>
  <c r="G55" i="2" s="1"/>
  <c r="G60" i="2"/>
  <c r="F2" i="11"/>
  <c r="L612" i="1"/>
  <c r="H662" i="1" s="1"/>
  <c r="L611" i="1"/>
  <c r="G662" i="1" s="1"/>
  <c r="L610" i="1"/>
  <c r="F662" i="1" s="1"/>
  <c r="C40" i="10"/>
  <c r="G59" i="1"/>
  <c r="H59" i="1"/>
  <c r="I59" i="1"/>
  <c r="F78" i="1"/>
  <c r="F93" i="1"/>
  <c r="F110" i="1"/>
  <c r="G110" i="1"/>
  <c r="G111" i="1" s="1"/>
  <c r="H78" i="1"/>
  <c r="E56" i="2" s="1"/>
  <c r="H93" i="1"/>
  <c r="H110" i="1"/>
  <c r="I110" i="1"/>
  <c r="I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L249" i="1"/>
  <c r="L331" i="1"/>
  <c r="C23" i="10" s="1"/>
  <c r="L253" i="1"/>
  <c r="L267" i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F18" i="2" s="1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D18" i="2" s="1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7" i="2"/>
  <c r="E57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D114" i="2"/>
  <c r="F114" i="2"/>
  <c r="G114" i="2"/>
  <c r="F127" i="2"/>
  <c r="G127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F191" i="1" s="1"/>
  <c r="G187" i="1"/>
  <c r="H187" i="1"/>
  <c r="I187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H337" i="1" s="1"/>
  <c r="H351" i="1" s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J95" i="1" s="1"/>
  <c r="G58" i="2" s="1"/>
  <c r="G61" i="2" s="1"/>
  <c r="I407" i="1"/>
  <c r="L412" i="1"/>
  <c r="L413" i="1"/>
  <c r="L414" i="1"/>
  <c r="L415" i="1"/>
  <c r="L416" i="1"/>
  <c r="L417" i="1"/>
  <c r="L418" i="1" s="1"/>
  <c r="F418" i="1"/>
  <c r="G418" i="1"/>
  <c r="H418" i="1"/>
  <c r="I418" i="1"/>
  <c r="J418" i="1"/>
  <c r="L420" i="1"/>
  <c r="L421" i="1"/>
  <c r="L422" i="1"/>
  <c r="L423" i="1"/>
  <c r="L424" i="1"/>
  <c r="L425" i="1"/>
  <c r="L426" i="1" s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H460" i="1" s="1"/>
  <c r="H640" i="1" s="1"/>
  <c r="F460" i="1"/>
  <c r="F469" i="1"/>
  <c r="G469" i="1"/>
  <c r="H469" i="1"/>
  <c r="I469" i="1"/>
  <c r="I475" i="1" s="1"/>
  <c r="H624" i="1" s="1"/>
  <c r="J469" i="1"/>
  <c r="F473" i="1"/>
  <c r="G473" i="1"/>
  <c r="H473" i="1"/>
  <c r="H475" i="1" s="1"/>
  <c r="H623" i="1" s="1"/>
  <c r="J623" i="1" s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9" i="1" s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6" i="1"/>
  <c r="G617" i="1"/>
  <c r="G618" i="1"/>
  <c r="G621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G642" i="1"/>
  <c r="H642" i="1"/>
  <c r="G643" i="1"/>
  <c r="G644" i="1"/>
  <c r="H644" i="1"/>
  <c r="G651" i="1"/>
  <c r="H651" i="1"/>
  <c r="G652" i="1"/>
  <c r="H652" i="1"/>
  <c r="G653" i="1"/>
  <c r="H653" i="1"/>
  <c r="G159" i="2"/>
  <c r="C18" i="2"/>
  <c r="F31" i="2"/>
  <c r="C26" i="10"/>
  <c r="L350" i="1"/>
  <c r="D61" i="2"/>
  <c r="D62" i="2" s="1"/>
  <c r="E49" i="2"/>
  <c r="D18" i="13"/>
  <c r="C18" i="13" s="1"/>
  <c r="C90" i="2"/>
  <c r="G80" i="2"/>
  <c r="F77" i="2"/>
  <c r="F80" i="2" s="1"/>
  <c r="D31" i="2"/>
  <c r="D49" i="2"/>
  <c r="G155" i="2"/>
  <c r="E143" i="2"/>
  <c r="G102" i="2"/>
  <c r="E102" i="2"/>
  <c r="D90" i="2"/>
  <c r="F90" i="2"/>
  <c r="E31" i="2"/>
  <c r="E50" i="2" s="1"/>
  <c r="C31" i="2"/>
  <c r="J616" i="1"/>
  <c r="E77" i="2"/>
  <c r="E80" i="2" s="1"/>
  <c r="L432" i="1"/>
  <c r="D80" i="2"/>
  <c r="I168" i="1"/>
  <c r="J642" i="1"/>
  <c r="G475" i="1"/>
  <c r="H622" i="1" s="1"/>
  <c r="J622" i="1" s="1"/>
  <c r="F168" i="1"/>
  <c r="J139" i="1"/>
  <c r="I551" i="1"/>
  <c r="G22" i="2"/>
  <c r="H139" i="1"/>
  <c r="L400" i="1"/>
  <c r="C138" i="2" s="1"/>
  <c r="L559" i="1"/>
  <c r="G191" i="1"/>
  <c r="H191" i="1"/>
  <c r="C49" i="2"/>
  <c r="C50" i="2" s="1"/>
  <c r="J644" i="1"/>
  <c r="G36" i="2"/>
  <c r="D19" i="13" l="1"/>
  <c r="C19" i="13" s="1"/>
  <c r="E119" i="2"/>
  <c r="J624" i="1"/>
  <c r="I368" i="1"/>
  <c r="H633" i="1" s="1"/>
  <c r="J633" i="1" s="1"/>
  <c r="K502" i="1"/>
  <c r="E122" i="2"/>
  <c r="E109" i="2"/>
  <c r="E118" i="2"/>
  <c r="L613" i="1"/>
  <c r="I570" i="1"/>
  <c r="K597" i="1"/>
  <c r="G646" i="1" s="1"/>
  <c r="J551" i="1"/>
  <c r="J570" i="1"/>
  <c r="K570" i="1"/>
  <c r="G551" i="1"/>
  <c r="L543" i="1"/>
  <c r="F102" i="2"/>
  <c r="H570" i="1"/>
  <c r="F570" i="1"/>
  <c r="L564" i="1"/>
  <c r="L570" i="1" s="1"/>
  <c r="F475" i="1"/>
  <c r="H621" i="1" s="1"/>
  <c r="J621" i="1" s="1"/>
  <c r="J544" i="1"/>
  <c r="I544" i="1"/>
  <c r="L533" i="1"/>
  <c r="H551" i="1"/>
  <c r="K544" i="1"/>
  <c r="G544" i="1"/>
  <c r="L528" i="1"/>
  <c r="E123" i="2"/>
  <c r="K499" i="1"/>
  <c r="K337" i="1"/>
  <c r="K351" i="1" s="1"/>
  <c r="E112" i="2"/>
  <c r="F660" i="1"/>
  <c r="G660" i="1"/>
  <c r="D126" i="2"/>
  <c r="D127" i="2" s="1"/>
  <c r="D144" i="2" s="1"/>
  <c r="H660" i="1"/>
  <c r="L361" i="1"/>
  <c r="G634" i="1" s="1"/>
  <c r="J634" i="1" s="1"/>
  <c r="D29" i="13"/>
  <c r="C29" i="13" s="1"/>
  <c r="L336" i="1"/>
  <c r="E124" i="2"/>
  <c r="G337" i="1"/>
  <c r="G351" i="1" s="1"/>
  <c r="E111" i="2"/>
  <c r="L327" i="1"/>
  <c r="E110" i="2"/>
  <c r="J337" i="1"/>
  <c r="J351" i="1" s="1"/>
  <c r="E108" i="2"/>
  <c r="E121" i="2"/>
  <c r="E120" i="2"/>
  <c r="E117" i="2"/>
  <c r="L308" i="1"/>
  <c r="F337" i="1"/>
  <c r="F351" i="1" s="1"/>
  <c r="L289" i="1"/>
  <c r="J475" i="1"/>
  <c r="H625" i="1" s="1"/>
  <c r="J639" i="1"/>
  <c r="J638" i="1"/>
  <c r="I459" i="1"/>
  <c r="I460" i="1" s="1"/>
  <c r="H641" i="1" s="1"/>
  <c r="J641" i="1" s="1"/>
  <c r="J640" i="1"/>
  <c r="I445" i="1"/>
  <c r="G641" i="1" s="1"/>
  <c r="H643" i="1"/>
  <c r="J643" i="1" s="1"/>
  <c r="J110" i="1"/>
  <c r="J111" i="1" s="1"/>
  <c r="L381" i="1"/>
  <c r="G635" i="1" s="1"/>
  <c r="J635" i="1" s="1"/>
  <c r="F129" i="2"/>
  <c r="F143" i="2" s="1"/>
  <c r="F144" i="2" s="1"/>
  <c r="C80" i="2"/>
  <c r="E61" i="2"/>
  <c r="E62" i="2" s="1"/>
  <c r="H111" i="1"/>
  <c r="C56" i="2"/>
  <c r="C61" i="2" s="1"/>
  <c r="G31" i="13"/>
  <c r="I337" i="1"/>
  <c r="I351" i="1" s="1"/>
  <c r="L406" i="1"/>
  <c r="C139" i="2" s="1"/>
  <c r="I191" i="1"/>
  <c r="E90" i="2"/>
  <c r="L407" i="1"/>
  <c r="G636" i="1" s="1"/>
  <c r="J636" i="1" s="1"/>
  <c r="D5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G49" i="2"/>
  <c r="G50" i="2" s="1"/>
  <c r="J651" i="1"/>
  <c r="G570" i="1"/>
  <c r="I433" i="1"/>
  <c r="G433" i="1"/>
  <c r="I662" i="1"/>
  <c r="C27" i="10" l="1"/>
  <c r="I660" i="1"/>
  <c r="E114" i="2"/>
  <c r="E127" i="2"/>
  <c r="L337" i="1"/>
  <c r="L351" i="1" s="1"/>
  <c r="G632" i="1" s="1"/>
  <c r="J632" i="1" s="1"/>
  <c r="D31" i="13"/>
  <c r="C31" i="13" s="1"/>
  <c r="E103" i="2"/>
  <c r="H645" i="1"/>
  <c r="J645" i="1" s="1"/>
  <c r="I192" i="1"/>
  <c r="G629" i="1" s="1"/>
  <c r="J629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E144" i="2" l="1"/>
  <c r="F59" i="1" l="1"/>
  <c r="F111" i="1" s="1"/>
  <c r="C35" i="10" l="1"/>
  <c r="C36" i="10"/>
  <c r="F192" i="1"/>
  <c r="C55" i="2"/>
  <c r="C62" i="2" s="1"/>
  <c r="C103" i="2" s="1"/>
  <c r="G626" i="1" l="1"/>
  <c r="J626" i="1"/>
  <c r="C41" i="10"/>
  <c r="D40" i="10" l="1"/>
  <c r="D39" i="10"/>
  <c r="D37" i="10"/>
  <c r="D38" i="10"/>
  <c r="D35" i="10"/>
  <c r="D36" i="10"/>
  <c r="D41" i="10" l="1"/>
  <c r="F255" i="1" l="1"/>
  <c r="H654" i="1" l="1"/>
  <c r="J654" i="1" s="1"/>
  <c r="L265" i="1"/>
  <c r="C140" i="2" s="1"/>
  <c r="I255" i="1"/>
  <c r="H255" i="1"/>
  <c r="G17" i="13" l="1"/>
  <c r="J255" i="1"/>
  <c r="F17" i="13"/>
  <c r="L198" i="1" l="1"/>
  <c r="G16" i="13" l="1"/>
  <c r="G8" i="13"/>
  <c r="F13" i="13"/>
  <c r="F16" i="13"/>
  <c r="G12" i="13"/>
  <c r="F8" i="13"/>
  <c r="F12" i="13"/>
  <c r="B36" i="12"/>
  <c r="F14" i="13" l="1"/>
  <c r="B27" i="12"/>
  <c r="F7" i="13"/>
  <c r="G6" i="13"/>
  <c r="G5" i="13"/>
  <c r="F6" i="13"/>
  <c r="F5" i="13"/>
  <c r="B18" i="12"/>
  <c r="G7" i="13"/>
  <c r="B9" i="12"/>
  <c r="G14" i="13" l="1"/>
  <c r="L217" i="1" l="1"/>
  <c r="L234" i="1"/>
  <c r="L235" i="1"/>
  <c r="K228" i="1" l="1"/>
  <c r="I246" i="1"/>
  <c r="I210" i="1"/>
  <c r="K246" i="1"/>
  <c r="J228" i="1"/>
  <c r="I228" i="1"/>
  <c r="L216" i="1"/>
  <c r="C27" i="12"/>
  <c r="J246" i="1"/>
  <c r="L220" i="1"/>
  <c r="L240" i="1"/>
  <c r="L237" i="1"/>
  <c r="L238" i="1"/>
  <c r="L219" i="1"/>
  <c r="L202" i="1"/>
  <c r="L222" i="1"/>
  <c r="L204" i="1"/>
  <c r="L201" i="1"/>
  <c r="L225" i="1" l="1"/>
  <c r="G649" i="1" s="1"/>
  <c r="J649" i="1" s="1"/>
  <c r="L243" i="1"/>
  <c r="G650" i="1" s="1"/>
  <c r="J650" i="1" s="1"/>
  <c r="C120" i="2"/>
  <c r="D12" i="13"/>
  <c r="C12" i="13" s="1"/>
  <c r="C18" i="10"/>
  <c r="L214" i="1"/>
  <c r="G255" i="1"/>
  <c r="L250" i="1"/>
  <c r="K210" i="1"/>
  <c r="G15" i="13"/>
  <c r="G33" i="13" s="1"/>
  <c r="C18" i="12"/>
  <c r="C118" i="2"/>
  <c r="C16" i="10"/>
  <c r="D7" i="13"/>
  <c r="C7" i="13" s="1"/>
  <c r="C9" i="12"/>
  <c r="L196" i="1"/>
  <c r="I256" i="1"/>
  <c r="I270" i="1" s="1"/>
  <c r="J210" i="1"/>
  <c r="J256" i="1" s="1"/>
  <c r="F15" i="13"/>
  <c r="C15" i="10"/>
  <c r="C117" i="2"/>
  <c r="D6" i="13"/>
  <c r="C6" i="13" s="1"/>
  <c r="L232" i="1"/>
  <c r="C12" i="10"/>
  <c r="C110" i="2"/>
  <c r="G661" i="1" l="1"/>
  <c r="H661" i="1"/>
  <c r="G228" i="1"/>
  <c r="J270" i="1"/>
  <c r="H647" i="1"/>
  <c r="J647" i="1" s="1"/>
  <c r="G246" i="1"/>
  <c r="C113" i="2"/>
  <c r="D17" i="13"/>
  <c r="C17" i="13" s="1"/>
  <c r="C24" i="10"/>
  <c r="C108" i="2"/>
  <c r="C10" i="10"/>
  <c r="L207" i="1"/>
  <c r="F661" i="1" l="1"/>
  <c r="I661" i="1" s="1"/>
  <c r="G648" i="1"/>
  <c r="D15" i="13"/>
  <c r="C15" i="13" s="1"/>
  <c r="C21" i="10"/>
  <c r="H646" i="1"/>
  <c r="J646" i="1" s="1"/>
  <c r="C123" i="2"/>
  <c r="C36" i="12"/>
  <c r="L199" i="1"/>
  <c r="G210" i="1"/>
  <c r="G256" i="1" s="1"/>
  <c r="G270" i="1" s="1"/>
  <c r="J648" i="1" l="1"/>
  <c r="C111" i="2"/>
  <c r="C13" i="10"/>
  <c r="L522" i="1" l="1"/>
  <c r="F550" i="1" s="1"/>
  <c r="K550" i="1" s="1"/>
  <c r="L521" i="1"/>
  <c r="F549" i="1" s="1"/>
  <c r="K549" i="1" s="1"/>
  <c r="L520" i="1" l="1"/>
  <c r="H523" i="1"/>
  <c r="H544" i="1" s="1"/>
  <c r="F548" i="1" l="1"/>
  <c r="L523" i="1"/>
  <c r="L544" i="1" s="1"/>
  <c r="K548" i="1" l="1"/>
  <c r="K551" i="1" s="1"/>
  <c r="F551" i="1"/>
  <c r="C10" i="13" l="1"/>
  <c r="D39" i="13"/>
  <c r="L260" i="1" l="1"/>
  <c r="C25" i="10" l="1"/>
  <c r="C131" i="2"/>
  <c r="L259" i="1"/>
  <c r="K269" i="1"/>
  <c r="L269" i="1" s="1"/>
  <c r="C32" i="10" l="1"/>
  <c r="C130" i="2"/>
  <c r="H25" i="13"/>
  <c r="C25" i="13" l="1"/>
  <c r="H33" i="13"/>
  <c r="F246" i="1" l="1"/>
  <c r="F210" i="1"/>
  <c r="F228" i="1"/>
  <c r="L197" i="1"/>
  <c r="F256" i="1" l="1"/>
  <c r="F270" i="1" s="1"/>
  <c r="L233" i="1"/>
  <c r="L215" i="1"/>
  <c r="B40" i="12" l="1"/>
  <c r="C109" i="2"/>
  <c r="C114" i="2" s="1"/>
  <c r="C11" i="10"/>
  <c r="B31" i="12"/>
  <c r="D5" i="13"/>
  <c r="B22" i="12" l="1"/>
  <c r="C5" i="13"/>
  <c r="L254" i="1" l="1"/>
  <c r="K255" i="1"/>
  <c r="L255" i="1" l="1"/>
  <c r="K256" i="1"/>
  <c r="K270" i="1" s="1"/>
  <c r="C129" i="2"/>
  <c r="C143" i="2" s="1"/>
  <c r="F22" i="13"/>
  <c r="C29" i="10"/>
  <c r="C22" i="13" l="1"/>
  <c r="F33" i="13"/>
  <c r="L242" i="1" l="1"/>
  <c r="L224" i="1"/>
  <c r="L206" i="1"/>
  <c r="L244" i="1"/>
  <c r="L208" i="1"/>
  <c r="L226" i="1"/>
  <c r="L205" i="1"/>
  <c r="L241" i="1"/>
  <c r="L223" i="1"/>
  <c r="C122" i="2" l="1"/>
  <c r="D14" i="13"/>
  <c r="C20" i="10"/>
  <c r="C19" i="10"/>
  <c r="C121" i="2"/>
  <c r="E13" i="13"/>
  <c r="C13" i="13" s="1"/>
  <c r="E16" i="13"/>
  <c r="C16" i="13" s="1"/>
  <c r="C124" i="2"/>
  <c r="C14" i="13" l="1"/>
  <c r="D33" i="13"/>
  <c r="D36" i="13" s="1"/>
  <c r="L203" i="1" l="1"/>
  <c r="H210" i="1"/>
  <c r="L221" i="1"/>
  <c r="L228" i="1" s="1"/>
  <c r="G659" i="1" s="1"/>
  <c r="G663" i="1" s="1"/>
  <c r="H228" i="1"/>
  <c r="L239" i="1"/>
  <c r="L246" i="1" s="1"/>
  <c r="H659" i="1" s="1"/>
  <c r="H663" i="1" s="1"/>
  <c r="H246" i="1"/>
  <c r="H256" i="1" l="1"/>
  <c r="H270" i="1" s="1"/>
  <c r="G671" i="1"/>
  <c r="C5" i="10" s="1"/>
  <c r="G666" i="1"/>
  <c r="H666" i="1"/>
  <c r="H671" i="1"/>
  <c r="C6" i="10" s="1"/>
  <c r="C17" i="10"/>
  <c r="C119" i="2"/>
  <c r="C127" i="2" s="1"/>
  <c r="C144" i="2" s="1"/>
  <c r="E8" i="13"/>
  <c r="L210" i="1"/>
  <c r="L256" i="1" l="1"/>
  <c r="L270" i="1" s="1"/>
  <c r="G631" i="1" s="1"/>
  <c r="F659" i="1"/>
  <c r="C8" i="13"/>
  <c r="E33" i="13"/>
  <c r="D35" i="13" s="1"/>
  <c r="C28" i="10"/>
  <c r="D17" i="10" s="1"/>
  <c r="F663" i="1" l="1"/>
  <c r="I659" i="1"/>
  <c r="I663" i="1" s="1"/>
  <c r="D11" i="10"/>
  <c r="D25" i="10"/>
  <c r="C30" i="10"/>
  <c r="D27" i="10"/>
  <c r="D15" i="10"/>
  <c r="D13" i="10"/>
  <c r="D21" i="10"/>
  <c r="D16" i="10"/>
  <c r="D23" i="10"/>
  <c r="D12" i="10"/>
  <c r="D26" i="10"/>
  <c r="D24" i="10"/>
  <c r="D22" i="10"/>
  <c r="D10" i="10"/>
  <c r="D18" i="10"/>
  <c r="D19" i="10"/>
  <c r="D20" i="10"/>
  <c r="H655" i="1"/>
  <c r="J631" i="1"/>
  <c r="D28" i="10" l="1"/>
  <c r="I671" i="1"/>
  <c r="C7" i="10" s="1"/>
  <c r="I666" i="1"/>
  <c r="F671" i="1"/>
  <c r="C4" i="10" s="1"/>
  <c r="F666" i="1"/>
  <c r="C31" i="12" l="1"/>
  <c r="A31" i="12" s="1"/>
  <c r="C13" i="12" l="1"/>
  <c r="C22" i="12"/>
  <c r="A22" i="12" s="1"/>
  <c r="C40" i="12" l="1"/>
  <c r="A40" i="12" s="1"/>
  <c r="B13" i="12"/>
  <c r="A13" i="12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<sst xmlns="http://schemas.openxmlformats.org/spreadsheetml/2006/main" count="3947" uniqueCount="912">
  <si>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</si>
  <si>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</si>
  <si>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</si>
  <si>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</si>
  <si>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</si>
  <si>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</si>
  <si>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</si>
  <si>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</si>
  <si>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</si>
  <si>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</si>
  <si>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</si>
  <si>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</si>
  <si>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</si>
  <si>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</si>
  <si>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</si>
  <si>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</si>
  <si>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</si>
  <si>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</si>
  <si>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</si>
  <si>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</si>
  <si>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</si>
  <si>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</si>
  <si>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</si>
  <si>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</si>
  <si>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</si>
  <si>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</si>
  <si>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</si>
  <si>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</si>
  <si>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</si>
  <si>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</si>
  <si>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</si>
  <si>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</si>
  <si>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</si>
  <si>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</si>
  <si>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</si>
  <si>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</si>
  <si>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</si>
  <si>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</si>
  <si>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</si>
  <si>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</si>
  <si>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</si>
  <si>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</si>
  <si>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</si>
  <si>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</si>
  <si>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</si>
  <si>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</si>
  <si>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</si>
  <si>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</si>
  <si>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</si>
  <si>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</si>
  <si>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</si>
  <si>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</si>
  <si>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</si>
  <si>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</si>
  <si>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</si>
  <si>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</si>
  <si>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</si>
  <si>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</si>
  <si>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</si>
  <si>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</si>
  <si>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</si>
  <si>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</si>
  <si>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</si>
  <si>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</si>
  <si>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</si>
  <si>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</si>
  <si>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</si>
  <si>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</si>
  <si>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</si>
  <si>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</si>
  <si>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</si>
  <si>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</si>
  <si>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</si>
  <si>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</si>
  <si>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</si>
  <si>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</si>
  <si>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</si>
  <si>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</si>
  <si>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</si>
  <si>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</si>
  <si>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</si>
  <si>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</si>
  <si>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</si>
  <si>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</si>
  <si>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</si>
  <si>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</si>
  <si>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</si>
  <si>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</si>
  <si>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</si>
  <si>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</si>
  <si>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</si>
  <si>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</si>
  <si>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</si>
  <si>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</si>
  <si>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</si>
  <si>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</si>
  <si>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</si>
  <si>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</si>
  <si>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</si>
  <si>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</si>
  <si>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</si>
  <si>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</si>
  <si>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</si>
  <si>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</si>
  <si>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</si>
  <si>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</si>
  <si>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</si>
  <si>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</si>
  <si>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</si>
  <si>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</si>
  <si>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</si>
  <si>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</si>
  <si>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</si>
  <si>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</si>
  <si>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</si>
  <si>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</si>
  <si>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</si>
  <si>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</si>
  <si>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</si>
  <si>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</si>
  <si>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</si>
  <si>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</si>
  <si>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</si>
  <si>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</si>
  <si>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</si>
  <si>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</si>
  <si>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</si>
  <si>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</si>
  <si>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</si>
  <si>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</si>
  <si>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</si>
  <si>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</si>
  <si>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</si>
  <si>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</si>
  <si>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</si>
  <si>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</si>
  <si>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</si>
  <si>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</si>
  <si>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</si>
  <si>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</si>
  <si>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</si>
  <si>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</si>
  <si>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</si>
  <si>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</si>
  <si>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</si>
  <si>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</si>
  <si>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</si>
  <si>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</si>
  <si>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</si>
  <si>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</si>
  <si>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</si>
  <si>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</si>
  <si>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</si>
  <si>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</si>
  <si>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</si>
  <si>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</si>
  <si>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</si>
  <si>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</si>
  <si>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</si>
  <si>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</si>
  <si>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</si>
  <si>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</si>
  <si>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</si>
  <si>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</si>
  <si>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</si>
  <si>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</si>
  <si>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</si>
  <si>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</si>
  <si>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</si>
  <si>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</si>
  <si>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</si>
  <si>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</si>
  <si>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</si>
  <si>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</si>
  <si>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</si>
  <si>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</si>
  <si>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</si>
  <si>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</si>
  <si>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</si>
  <si>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</si>
  <si>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</si>
  <si>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</si>
  <si>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</si>
  <si>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</si>
  <si>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</si>
  <si>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</si>
  <si>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</si>
  <si>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</si>
  <si>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</si>
  <si>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</si>
  <si>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</si>
  <si>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</si>
  <si>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</si>
  <si>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</si>
  <si>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</si>
  <si>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</si>
  <si>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</si>
  <si>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</si>
  <si>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</si>
  <si>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</si>
  <si>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</si>
  <si>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</si>
  <si>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</si>
  <si>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</si>
  <si>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</si>
  <si>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</si>
  <si>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</si>
  <si>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</si>
  <si>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</si>
  <si>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</si>
  <si>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</si>
  <si>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</si>
  <si>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</si>
  <si>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</si>
  <si>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</si>
  <si>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</si>
  <si>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</si>
  <si>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</si>
  <si>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</si>
  <si>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</si>
  <si>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</si>
  <si>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</si>
  <si>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</si>
  <si>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</si>
  <si>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</si>
  <si>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</si>
  <si>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</si>
  <si>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</si>
  <si>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</si>
  <si>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</si>
  <si>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</si>
  <si>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</si>
  <si>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</si>
  <si>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</si>
  <si>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</si>
  <si>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</si>
  <si>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</si>
  <si>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</si>
  <si>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</si>
  <si>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</si>
  <si>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</si>
  <si>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</si>
  <si>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</si>
  <si>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</si>
  <si>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</si>
  <si>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</si>
  <si>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</si>
  <si>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</si>
  <si>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</si>
  <si>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</si>
  <si>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</si>
  <si>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</si>
  <si>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</si>
  <si>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</si>
  <si>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</si>
  <si>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</si>
  <si>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</si>
  <si>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</si>
  <si>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</si>
  <si>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</si>
  <si>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</si>
  <si>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</si>
  <si>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</si>
  <si>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</si>
  <si>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</si>
  <si>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</si>
  <si>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</si>
  <si>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</si>
  <si>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</si>
  <si>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</si>
  <si>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</si>
  <si>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</si>
  <si>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</si>
  <si>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</si>
  <si>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</si>
  <si>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</si>
  <si>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</si>
  <si>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</si>
  <si>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</si>
  <si>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</si>
  <si>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</si>
  <si>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</si>
  <si>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</si>
  <si>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</si>
  <si>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</si>
  <si>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</si>
  <si>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</si>
  <si>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</si>
  <si>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</si>
  <si>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</si>
  <si>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</si>
  <si>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</si>
  <si>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</si>
  <si>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</si>
  <si>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</si>
  <si>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</si>
  <si>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</si>
  <si>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</si>
  <si>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</si>
  <si>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</si>
  <si>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</si>
  <si>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</si>
  <si>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</si>
  <si>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</si>
  <si>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</si>
  <si>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</si>
  <si>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</si>
  <si>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</si>
  <si>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</si>
  <si>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</si>
  <si>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</si>
  <si>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</si>
  <si>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</si>
  <si>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</si>
  <si>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</si>
  <si>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</si>
  <si>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</si>
  <si>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</si>
  <si>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</si>
  <si>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</si>
  <si>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</si>
  <si>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</si>
  <si>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</si>
  <si>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</si>
  <si>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</si>
  <si>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</si>
  <si>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</si>
  <si>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</si>
  <si>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</si>
  <si>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</si>
  <si>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</si>
  <si>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</si>
  <si>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</si>
  <si>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</si>
  <si>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</si>
  <si>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</si>
  <si>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</si>
  <si>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</si>
  <si>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</si>
  <si>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</si>
  <si>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</si>
  <si>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</si>
  <si>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</si>
  <si>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</si>
  <si>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</si>
  <si>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</si>
  <si>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</si>
  <si>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</si>
  <si>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</si>
  <si>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</si>
  <si>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</si>
  <si>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</si>
  <si>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</si>
  <si>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</si>
  <si>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</si>
  <si>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</si>
  <si>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</si>
  <si>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</si>
  <si>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</si>
  <si>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</si>
  <si>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</si>
  <si>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</si>
  <si>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</si>
  <si>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</si>
  <si>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</si>
  <si>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</si>
  <si>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</si>
  <si>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</si>
  <si>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</si>
  <si>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</si>
  <si>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</si>
  <si>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</si>
  <si>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</si>
  <si>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</si>
  <si>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</si>
  <si>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</si>
  <si>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</si>
  <si>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</si>
  <si>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</si>
  <si>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</si>
  <si>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</si>
  <si>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</si>
  <si>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</si>
  <si>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</si>
  <si>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</si>
  <si>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</si>
  <si>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</si>
  <si>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</si>
  <si>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</si>
  <si>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</si>
  <si>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</si>
  <si>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</si>
  <si>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</si>
  <si>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</si>
  <si>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</si>
  <si>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</si>
  <si>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</si>
  <si>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</si>
  <si>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</si>
  <si>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</si>
  <si>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</si>
  <si>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</si>
  <si>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</si>
  <si>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</si>
  <si>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</si>
  <si>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</si>
  <si>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</si>
  <si>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</si>
  <si>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</si>
  <si>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</si>
  <si>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</si>
  <si>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</si>
  <si>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</si>
  <si>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</si>
  <si>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</si>
  <si>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</si>
  <si>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</si>
  <si>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</si>
  <si>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</si>
  <si>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</si>
  <si>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</si>
  <si>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</si>
  <si>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</si>
  <si>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</si>
  <si>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</si>
  <si>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</si>
  <si>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</si>
  <si>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</si>
  <si>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</si>
  <si>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</si>
  <si>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</si>
  <si>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</si>
  <si>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</si>
  <si>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</si>
  <si>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</si>
  <si>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</si>
  <si>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</si>
  <si>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</si>
  <si>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</si>
  <si>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</si>
  <si>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</si>
  <si>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</si>
  <si>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</si>
  <si>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</si>
  <si>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</si>
  <si>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</si>
  <si>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</si>
  <si>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</si>
  <si>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</si>
  <si>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</si>
  <si>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</si>
  <si>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</si>
  <si>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</si>
  <si>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</si>
  <si>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</si>
  <si>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</si>
  <si>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</si>
  <si>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</si>
  <si>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</si>
  <si>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</si>
  <si>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</si>
  <si>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</si>
  <si>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</si>
  <si>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</si>
  <si>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</si>
  <si>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</si>
  <si>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</si>
  <si>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</si>
  <si>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</si>
  <si>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</si>
  <si>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</si>
  <si>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</si>
  <si>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</si>
  <si>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</si>
  <si>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</si>
  <si>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</si>
  <si>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</si>
  <si>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</si>
  <si>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</si>
  <si>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</si>
  <si>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</si>
  <si>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</si>
  <si>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</si>
  <si>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</si>
  <si>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</si>
  <si>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</si>
  <si>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</si>
  <si>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</si>
  <si>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</si>
  <si>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</si>
  <si>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</si>
  <si>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</si>
  <si>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</si>
  <si>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</si>
  <si>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</si>
  <si>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</si>
  <si>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</si>
  <si>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</si>
  <si>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</si>
  <si>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</si>
  <si>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</si>
  <si>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</si>
  <si>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</si>
  <si>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</si>
  <si>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</si>
  <si>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</si>
  <si>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</si>
  <si>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</si>
  <si>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</si>
  <si>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</si>
  <si>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</si>
  <si>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</si>
  <si>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</si>
  <si>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</si>
  <si>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</si>
  <si>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</si>
  <si>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</si>
  <si>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</si>
  <si>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</si>
  <si>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</si>
  <si>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</si>
  <si>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</si>
  <si>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</si>
  <si>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</si>
  <si>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</si>
  <si>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</si>
  <si>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</si>
  <si>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</si>
  <si>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</si>
  <si>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</si>
  <si>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</si>
  <si>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</si>
  <si>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</si>
  <si>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</si>
  <si>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</si>
  <si>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</si>
  <si>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</si>
  <si>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</si>
  <si>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</si>
  <si>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</si>
  <si>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</si>
  <si>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</si>
  <si>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</si>
  <si>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</si>
  <si>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</si>
  <si>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</si>
  <si>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</si>
  <si>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</si>
  <si>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</si>
  <si>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</si>
  <si>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</si>
  <si>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</si>
  <si>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</si>
  <si>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</si>
  <si>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</si>
  <si>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</si>
  <si>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</si>
  <si>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</si>
  <si>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</si>
  <si>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</si>
  <si>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</si>
  <si>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</si>
  <si>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</si>
  <si>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</si>
  <si>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</si>
  <si>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</si>
  <si>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</si>
  <si>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</si>
  <si>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</si>
  <si>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</si>
  <si>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</si>
  <si>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</si>
  <si>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</si>
  <si>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</si>
  <si>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</si>
  <si>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</si>
  <si>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</si>
  <si>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</si>
  <si>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</si>
  <si>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</si>
  <si>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</si>
  <si>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</si>
  <si>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</si>
  <si>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</si>
  <si>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</si>
  <si>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</si>
  <si>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</si>
  <si>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</si>
  <si>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</si>
  <si>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</si>
  <si>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</si>
  <si>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</si>
  <si>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</si>
  <si>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</si>
  <si>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</si>
  <si>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</si>
  <si>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</si>
  <si>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</si>
  <si>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</si>
  <si>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</si>
  <si>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</si>
  <si>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</si>
  <si>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</si>
  <si>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</si>
  <si>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</si>
  <si>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</si>
  <si>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</si>
  <si>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</si>
  <si>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</si>
  <si>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</si>
  <si>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</si>
  <si>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</si>
  <si>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</si>
  <si>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</si>
  <si>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</si>
  <si>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</si>
  <si>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</si>
  <si>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</si>
  <si>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</si>
  <si>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</si>
  <si>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</si>
  <si>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</si>
  <si>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</si>
  <si>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</si>
  <si>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</si>
  <si>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</si>
  <si>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</si>
  <si>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</si>
  <si>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</si>
  <si>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</si>
  <si>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</si>
  <si>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</si>
  <si>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</si>
  <si>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</si>
  <si>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</si>
  <si>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</si>
  <si>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</si>
  <si>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</si>
  <si>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</si>
  <si>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</si>
  <si>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</si>
  <si>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</si>
  <si>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</si>
  <si>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</si>
  <si>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</si>
  <si>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</si>
  <si>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</si>
  <si>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</si>
  <si>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</si>
  <si>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</si>
  <si>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</si>
  <si>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</si>
  <si>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</si>
  <si>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</si>
  <si>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</si>
  <si>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</si>
  <si>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</si>
  <si>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</si>
  <si>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</si>
  <si>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</si>
  <si>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</si>
  <si>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</si>
  <si>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</si>
  <si>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</si>
  <si>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</si>
  <si>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</si>
  <si>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</si>
  <si>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</si>
  <si>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</si>
  <si>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</si>
  <si>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</si>
  <si>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</si>
  <si>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</si>
  <si>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</si>
  <si>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</si>
  <si>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</si>
  <si>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</si>
  <si>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</si>
  <si>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</si>
  <si>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</si>
  <si>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</si>
  <si>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</si>
  <si>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</si>
  <si>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</si>
  <si>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</si>
  <si>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</si>
  <si>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</si>
  <si>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</si>
  <si>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</si>
  <si>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</si>
  <si>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</si>
  <si>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</si>
  <si>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</si>
  <si>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</si>
  <si>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</si>
  <si>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</si>
  <si>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</si>
  <si>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</si>
  <si>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</si>
  <si>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</si>
  <si>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</si>
  <si>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</si>
  <si>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</si>
  <si>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</si>
  <si>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</si>
  <si>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</si>
  <si>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</si>
  <si>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</si>
  <si>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</si>
  <si>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</si>
  <si>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</si>
  <si>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</si>
  <si>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</si>
  <si>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</si>
  <si>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</si>
  <si>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</si>
  <si>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</si>
  <si>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</si>
  <si>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</si>
  <si>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</si>
  <si>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</si>
  <si>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</si>
  <si>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</si>
  <si>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</si>
  <si>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</si>
  <si>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</si>
  <si>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</si>
  <si>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</si>
  <si>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</si>
  <si>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</si>
  <si>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</si>
  <si>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</si>
  <si>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</si>
  <si>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</si>
  <si>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</si>
  <si>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</si>
  <si>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</si>
  <si>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</si>
  <si>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</si>
  <si>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</si>
  <si>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</si>
  <si>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</si>
  <si>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</si>
  <si>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</si>
  <si>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</si>
  <si>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</si>
  <si>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</si>
  <si>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</si>
  <si>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</si>
  <si>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</si>
  <si>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</si>
  <si>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</si>
  <si>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</si>
  <si>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</si>
  <si>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</si>
  <si>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</si>
  <si>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</si>
  <si>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</si>
  <si>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</si>
  <si>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</si>
  <si>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</si>
  <si>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</si>
  <si>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</si>
  <si>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</si>
  <si>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</si>
  <si>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</si>
  <si>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</si>
  <si>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</si>
  <si>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</si>
  <si>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</si>
  <si>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</si>
  <si>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</si>
  <si>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</si>
  <si>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</si>
  <si>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</si>
  <si>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</si>
  <si>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</si>
  <si>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</si>
  <si>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</si>
  <si>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</si>
  <si>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</si>
  <si>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</si>
  <si>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</si>
  <si>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</si>
  <si>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</si>
  <si>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</si>
  <si>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</si>
  <si>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</si>
  <si>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</si>
  <si>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</si>
  <si>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</si>
  <si>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</si>
  <si>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</si>
  <si>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</si>
  <si>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</si>
  <si>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</si>
  <si>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</si>
  <si>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</si>
  <si>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</si>
  <si>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</si>
  <si>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</si>
  <si>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</si>
  <si>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</si>
  <si>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</si>
  <si>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</si>
  <si>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</si>
  <si>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</si>
  <si>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</si>
  <si>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</si>
  <si>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</si>
  <si>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</si>
  <si>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</si>
  <si>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</si>
  <si>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</si>
  <si>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</si>
  <si>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</si>
  <si>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</si>
  <si>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</si>
  <si>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</si>
  <si>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</si>
  <si>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</si>
  <si>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</si>
  <si>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</si>
  <si>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</si>
  <si>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</si>
  <si>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</si>
  <si>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</si>
  <si>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</si>
  <si>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</si>
  <si>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</si>
  <si>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</si>
  <si>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</si>
  <si>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</si>
  <si>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</si>
  <si>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</si>
  <si>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</si>
  <si>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</si>
  <si>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</si>
  <si>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</si>
  <si>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</si>
  <si>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</si>
  <si>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</si>
  <si>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</si>
  <si>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</si>
  <si>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</si>
  <si>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</si>
  <si>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</si>
  <si>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</si>
  <si>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</si>
  <si>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</si>
  <si>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</si>
  <si>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</si>
  <si>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</si>
  <si>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</si>
  <si>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</si>
  <si>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</si>
  <si>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</si>
  <si>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</si>
  <si>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</si>
  <si>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</si>
  <si>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</si>
  <si>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</si>
  <si>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</si>
  <si>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</si>
  <si>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</si>
  <si>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</si>
  <si>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</si>
  <si>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</si>
  <si>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</si>
  <si>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</si>
  <si>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</si>
  <si>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</si>
  <si>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</si>
  <si>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</si>
  <si>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</si>
  <si>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</si>
  <si>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</si>
  <si>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</si>
  <si>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</si>
  <si>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</si>
  <si>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</si>
  <si>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</si>
  <si>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</si>
  <si>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</si>
  <si>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</si>
  <si>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</si>
  <si>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</si>
  <si>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</si>
  <si>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</si>
  <si>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</si>
  <si>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</si>
  <si>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</si>
  <si>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</si>
  <si>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</si>
  <si>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</si>
  <si>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</si>
  <si>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</si>
  <si>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</si>
  <si>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</si>
  <si>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</si>
  <si>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</si>
  <si>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</si>
  <si>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</si>
  <si>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</si>
  <si>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</si>
  <si>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</si>
  <si>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</si>
  <si>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</si>
  <si>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</si>
  <si>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Nashua School District</t>
  </si>
  <si>
    <t>SCHOLARSHIP FUNDS</t>
  </si>
  <si>
    <t>*SEE SUPPLEMENTAL SCHEDULE*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</si>
</sst>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371</v>
      </c>
      <c r="C2" s="21">
        <v>371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7">
        <f>SUM(I438)</f>
        <v>4447967.57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4853589.84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f>490110.58-4454.42</f>
        <v>485656.16000000003</v>
      </c>
      <c r="I12" s="18">
        <v>1984087.07</v>
      </c>
      <c r="J12" s="67">
        <f>SUM(I440)</f>
        <v>183514.29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512078.5</v>
      </c>
      <c r="H13" s="18">
        <v>1474912.11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f>23691.75+260.93</f>
        <v>23952.68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512078.5</v>
      </c>
      <c r="H19" s="41">
        <f>SUM(H9:H18)</f>
        <v>1984520.95</v>
      </c>
      <c r="I19" s="41">
        <f>SUM(I9:I18)</f>
        <v>1984087.07</v>
      </c>
      <c r="J19" s="41">
        <f>SUM(J9:J18)</f>
        <v>9485071.6999999993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140981.19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144213.23000000001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140981.19</v>
      </c>
      <c r="H32" s="41">
        <f>SUM(H22:H31)</f>
        <v>144213.23000000001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4418556.57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524643.82000000007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384526.19-13454.98</f>
        <v>371071.21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687864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f>1676683.66-39638.13-4454.42</f>
        <v>1632591.11</v>
      </c>
      <c r="I47" s="18">
        <f>1984087.07-687864</f>
        <v>1296223.07</v>
      </c>
      <c r="J47" s="13">
        <f>SUM(I458)</f>
        <v>4541871.3100000005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26.1</v>
      </c>
      <c r="H48" s="18">
        <v>207716.61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371097.31</v>
      </c>
      <c r="H50" s="41">
        <f>SUM(H35:H49)</f>
        <v>1840307.7200000002</v>
      </c>
      <c r="I50" s="41">
        <f>SUM(I35:I49)</f>
        <v>1984087.07</v>
      </c>
      <c r="J50" s="41">
        <f>SUM(J35:J49)</f>
        <v>9485071.7000000011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512078.5</v>
      </c>
      <c r="H51" s="41">
        <f>H50+H32</f>
        <v>1984520.9500000002</v>
      </c>
      <c r="I51" s="41">
        <f>I50+I32</f>
        <v>1984087.07</v>
      </c>
      <c r="J51" s="41">
        <f>J50+J32</f>
        <v>9485071.7000000011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77577165.329999998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77577165.329999998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14501.18</v>
      </c>
      <c r="G62" s="24" t="s">
        <v>289</v>
      </c>
      <c r="H62" s="18">
        <f>225787+243265.48</f>
        <v>469052.48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101075.5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60712.5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f>75879.42-4454.42</f>
        <v>71425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>
        <f>208178.49</f>
        <v>208178.49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65659.429999999993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80160.609999999986</v>
      </c>
      <c r="G78" s="45" t="s">
        <v>289</v>
      </c>
      <c r="H78" s="41">
        <f>SUM(H62:H77)</f>
        <v>910443.97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78616.75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>
        <f>9511.75</f>
        <v>9511.75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78616.75</v>
      </c>
      <c r="G93" s="45" t="s">
        <v>289</v>
      </c>
      <c r="H93" s="41">
        <f>SUM(H82:H92)</f>
        <v>9511.75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134.36000000000001</v>
      </c>
      <c r="H95" s="18"/>
      <c r="I95" s="18"/>
      <c r="J95" s="18">
        <f>H407</f>
        <v>478764.84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2042516.47+7761.74</f>
        <v>2050278.21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f>36980+4490+53562.33+147750+10786.24</f>
        <v>253568.57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>
        <v>114730.75</v>
      </c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>
        <v>128756</v>
      </c>
      <c r="J101" s="18">
        <f>15270+259285.25</f>
        <v>274555.25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31922.5</v>
      </c>
      <c r="G109" s="18"/>
      <c r="H109" s="18"/>
      <c r="I109" s="18"/>
      <c r="J109" s="18">
        <v>8.3000000000000007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31922.5</v>
      </c>
      <c r="G110" s="41">
        <f>SUM(G95:G109)</f>
        <v>2050412.57</v>
      </c>
      <c r="H110" s="41">
        <f>SUM(H95:H109)</f>
        <v>368299.32</v>
      </c>
      <c r="I110" s="41">
        <f>SUM(I95:I109)</f>
        <v>128756</v>
      </c>
      <c r="J110" s="41">
        <f>SUM(J95:J109)</f>
        <v>753328.39000000013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77767865.189999998</v>
      </c>
      <c r="G111" s="41">
        <f>G59+G110</f>
        <v>2050412.57</v>
      </c>
      <c r="H111" s="41">
        <f>H59+H78+H93+H110</f>
        <v>1288255.04</v>
      </c>
      <c r="I111" s="41">
        <f>I59+I110</f>
        <v>128756</v>
      </c>
      <c r="J111" s="41">
        <f>J59+J110</f>
        <v>753328.39000000013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35998972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19979357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55978329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2641794.8199999998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559026.43999999994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160120.76999999999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2617.38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124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77603.3</f>
        <v>77603.3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72439.95</v>
      </c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3363683.4099999997</v>
      </c>
      <c r="G135" s="41">
        <f>SUM(G122:G134)</f>
        <v>77603.3</v>
      </c>
      <c r="H135" s="41">
        <f>SUM(H122:H134)</f>
        <v>72439.95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59342012.409999996</v>
      </c>
      <c r="G139" s="41">
        <f>G120+SUM(G135:G136)</f>
        <v>77603.3</v>
      </c>
      <c r="H139" s="41">
        <f>H120+SUM(H135:H138)</f>
        <v>72439.95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411641.98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3664263.91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1489949.15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303930.46000000002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128691.15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2832436.9+16985.93</f>
        <v>2849422.83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3177048.98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1304116.57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42538.080000000002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1304116.57</v>
      </c>
      <c r="G161" s="41">
        <f>SUM(G149:G160)</f>
        <v>2849422.83</v>
      </c>
      <c r="H161" s="41">
        <f>SUM(H149:H160)</f>
        <v>9218063.7100000009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1304116.57</v>
      </c>
      <c r="G168" s="41">
        <f>G146+G161+SUM(G162:G167)</f>
        <v>2849422.83</v>
      </c>
      <c r="H168" s="41">
        <f>H146+H161+SUM(H162:H167)</f>
        <v>9218063.7100000009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1771700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>
        <v>228300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2000000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>
        <f>186907.99*0</f>
        <v>0</v>
      </c>
      <c r="J178" s="18">
        <v>158283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158283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1787420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75000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75000</v>
      </c>
      <c r="G187" s="41">
        <f>SUM(G184:G186)</f>
        <v>0</v>
      </c>
      <c r="H187" s="41">
        <f>SUM(H184:H186)</f>
        <v>0</v>
      </c>
      <c r="I187" s="41">
        <f>SUM(I184:I186)</f>
        <v>1787420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75000</v>
      </c>
      <c r="G191" s="41">
        <f>G182+SUM(G187:G190)</f>
        <v>0</v>
      </c>
      <c r="H191" s="41">
        <f>+H182+SUM(H187:H190)</f>
        <v>0</v>
      </c>
      <c r="I191" s="41">
        <f>I176+I182+SUM(I187:I190)</f>
        <v>3787420</v>
      </c>
      <c r="J191" s="41">
        <f>J182</f>
        <v>158283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138488994.16999999</v>
      </c>
      <c r="G192" s="47">
        <f>G111+G139+G168+G191</f>
        <v>4977438.7</v>
      </c>
      <c r="H192" s="47">
        <f>H111+H139+H168+H191</f>
        <v>10578758.700000001</v>
      </c>
      <c r="I192" s="47">
        <f>I111+I139+I168+I191</f>
        <v>3916176</v>
      </c>
      <c r="J192" s="47">
        <f>J111+J139+J191</f>
        <v>911611.39000000013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17057269.390000001</v>
      </c>
      <c r="G196" s="18">
        <v>6151175.6600000001</v>
      </c>
      <c r="H196" s="18">
        <v>192772.4</v>
      </c>
      <c r="I196" s="18">
        <v>334431.11</v>
      </c>
      <c r="J196" s="18">
        <v>64542.9</v>
      </c>
      <c r="K196" s="18">
        <v>0</v>
      </c>
      <c r="L196" s="19">
        <f>SUM(F196:K196)</f>
        <v>23800191.459999997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8426480.9800000004</v>
      </c>
      <c r="G197" s="18">
        <v>3128185.21</v>
      </c>
      <c r="H197" s="18">
        <v>413710.16</v>
      </c>
      <c r="I197" s="18">
        <v>30702.61</v>
      </c>
      <c r="J197" s="18">
        <v>0</v>
      </c>
      <c r="K197" s="18">
        <v>0</v>
      </c>
      <c r="L197" s="19">
        <f>SUM(F197:K197)</f>
        <v>11999078.960000001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93685.65</v>
      </c>
      <c r="G199" s="18">
        <v>32516.91</v>
      </c>
      <c r="H199" s="18">
        <v>4807.82</v>
      </c>
      <c r="I199" s="18">
        <v>9217.6</v>
      </c>
      <c r="J199" s="18">
        <v>0</v>
      </c>
      <c r="K199" s="18">
        <v>0</v>
      </c>
      <c r="L199" s="19">
        <f>SUM(F199:K199)</f>
        <v>140227.98000000001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2737713.58</v>
      </c>
      <c r="G201" s="18">
        <v>1016749.89</v>
      </c>
      <c r="H201" s="18">
        <v>349764.66</v>
      </c>
      <c r="I201" s="18">
        <v>17905.93</v>
      </c>
      <c r="J201" s="18">
        <v>2786.11</v>
      </c>
      <c r="K201" s="18">
        <v>0</v>
      </c>
      <c r="L201" s="19">
        <f t="shared" ref="L201:L207" si="0">SUM(F201:K201)</f>
        <v>4124920.1700000004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1266838.3400000001</v>
      </c>
      <c r="G202" s="18">
        <v>464132.97</v>
      </c>
      <c r="H202" s="18">
        <v>106028.66</v>
      </c>
      <c r="I202" s="18">
        <v>216181.06</v>
      </c>
      <c r="J202" s="18">
        <v>603648.63</v>
      </c>
      <c r="K202" s="18">
        <v>0</v>
      </c>
      <c r="L202" s="19">
        <f t="shared" si="0"/>
        <v>2656829.66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785934.34</v>
      </c>
      <c r="G203" s="18">
        <v>313334.63</v>
      </c>
      <c r="H203" s="18">
        <v>238455.57</v>
      </c>
      <c r="I203" s="18">
        <v>11264.29</v>
      </c>
      <c r="J203" s="18">
        <v>8792.06</v>
      </c>
      <c r="K203" s="18">
        <v>38545.81</v>
      </c>
      <c r="L203" s="19">
        <f t="shared" si="0"/>
        <v>1396326.7000000002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2511272.4700000002</v>
      </c>
      <c r="G204" s="18">
        <v>943763.9</v>
      </c>
      <c r="H204" s="18">
        <v>6570.18</v>
      </c>
      <c r="I204" s="18">
        <v>22402</v>
      </c>
      <c r="J204" s="18">
        <v>-50</v>
      </c>
      <c r="K204" s="18">
        <v>0</v>
      </c>
      <c r="L204" s="19">
        <f t="shared" si="0"/>
        <v>3483958.5500000003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350095.02</v>
      </c>
      <c r="G205" s="18">
        <v>88192.59</v>
      </c>
      <c r="H205" s="18">
        <v>9481.6299999999992</v>
      </c>
      <c r="I205" s="18">
        <v>0</v>
      </c>
      <c r="J205" s="18">
        <v>0</v>
      </c>
      <c r="K205" s="18">
        <v>0</v>
      </c>
      <c r="L205" s="19">
        <f t="shared" si="0"/>
        <v>447769.24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2300797.31</v>
      </c>
      <c r="G206" s="18">
        <v>852706.43</v>
      </c>
      <c r="H206" s="18">
        <v>1780973.09</v>
      </c>
      <c r="I206" s="18">
        <v>336290.79</v>
      </c>
      <c r="J206" s="18">
        <v>13411.84</v>
      </c>
      <c r="K206" s="18">
        <v>-40216.050000000003</v>
      </c>
      <c r="L206" s="19">
        <f t="shared" si="0"/>
        <v>5243963.41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46020.88</v>
      </c>
      <c r="G207" s="18">
        <v>17084.45</v>
      </c>
      <c r="H207" s="18">
        <v>2421912.79</v>
      </c>
      <c r="I207" s="18">
        <v>320.2</v>
      </c>
      <c r="J207" s="18">
        <v>0</v>
      </c>
      <c r="K207" s="18">
        <v>0</v>
      </c>
      <c r="L207" s="19">
        <f t="shared" si="0"/>
        <v>2485338.3200000003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127107.51</v>
      </c>
      <c r="G208" s="18">
        <v>47186.48</v>
      </c>
      <c r="H208" s="18">
        <v>74060.100000000006</v>
      </c>
      <c r="I208" s="18">
        <v>0</v>
      </c>
      <c r="J208" s="18">
        <v>0</v>
      </c>
      <c r="K208" s="18">
        <v>0</v>
      </c>
      <c r="L208" s="19">
        <f>SUM(F208:K208)</f>
        <v>248354.09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35703215.469999999</v>
      </c>
      <c r="G210" s="41">
        <f t="shared" si="1"/>
        <v>13055029.120000003</v>
      </c>
      <c r="H210" s="41">
        <f t="shared" si="1"/>
        <v>5598537.0599999996</v>
      </c>
      <c r="I210" s="41">
        <f t="shared" si="1"/>
        <v>978715.58999999985</v>
      </c>
      <c r="J210" s="41">
        <f t="shared" si="1"/>
        <v>693131.54</v>
      </c>
      <c r="K210" s="41">
        <f t="shared" si="1"/>
        <v>-1670.2400000000052</v>
      </c>
      <c r="L210" s="41">
        <f t="shared" si="1"/>
        <v>56026958.540000014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9299862.9000000004</v>
      </c>
      <c r="G214" s="18">
        <v>3371482.5</v>
      </c>
      <c r="H214" s="18">
        <v>111934.64</v>
      </c>
      <c r="I214" s="18">
        <v>216103.04000000001</v>
      </c>
      <c r="J214" s="18">
        <v>45524.69</v>
      </c>
      <c r="K214" s="18">
        <v>0</v>
      </c>
      <c r="L214" s="19">
        <f>SUM(F214:K214)</f>
        <v>13044907.77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2257210.85</v>
      </c>
      <c r="G215" s="18">
        <v>837950.46</v>
      </c>
      <c r="H215" s="18">
        <v>994029.23</v>
      </c>
      <c r="I215" s="18">
        <v>7583.76</v>
      </c>
      <c r="J215" s="18">
        <v>0</v>
      </c>
      <c r="K215" s="18">
        <v>0</v>
      </c>
      <c r="L215" s="19">
        <f>SUM(F215:K215)</f>
        <v>4096774.3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783138.45</v>
      </c>
      <c r="G216" s="18">
        <v>290726.59999999998</v>
      </c>
      <c r="H216" s="18">
        <v>1040</v>
      </c>
      <c r="I216" s="18">
        <v>46937.38</v>
      </c>
      <c r="J216" s="18">
        <v>3155.8</v>
      </c>
      <c r="K216" s="18">
        <v>0</v>
      </c>
      <c r="L216" s="19">
        <f>SUM(F216:K216)</f>
        <v>1124998.2299999997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49981</v>
      </c>
      <c r="G217" s="18">
        <v>18554.59</v>
      </c>
      <c r="H217" s="18">
        <v>34201.56</v>
      </c>
      <c r="I217" s="18">
        <v>4073.41</v>
      </c>
      <c r="J217" s="18">
        <v>0</v>
      </c>
      <c r="K217" s="18">
        <v>0</v>
      </c>
      <c r="L217" s="19">
        <f>SUM(F217:K217)</f>
        <v>106810.56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1792943</v>
      </c>
      <c r="G219" s="18">
        <v>665599.03</v>
      </c>
      <c r="H219" s="18">
        <v>187028.69</v>
      </c>
      <c r="I219" s="18">
        <v>7627.91</v>
      </c>
      <c r="J219" s="18">
        <v>1489.81</v>
      </c>
      <c r="K219" s="18">
        <v>0</v>
      </c>
      <c r="L219" s="19">
        <f t="shared" ref="L219:L225" si="2">SUM(F219:K219)</f>
        <v>2654688.4400000004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434718.49</v>
      </c>
      <c r="G220" s="18">
        <v>158645.17000000001</v>
      </c>
      <c r="H220" s="18">
        <v>47111.43</v>
      </c>
      <c r="I220" s="18">
        <v>93850.62</v>
      </c>
      <c r="J220" s="18">
        <v>268217.56</v>
      </c>
      <c r="K220" s="18">
        <v>0</v>
      </c>
      <c r="L220" s="19">
        <f t="shared" si="2"/>
        <v>1002543.27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349212.08</v>
      </c>
      <c r="G221" s="18">
        <v>139223.12</v>
      </c>
      <c r="H221" s="18">
        <v>105952.32000000001</v>
      </c>
      <c r="I221" s="18">
        <v>5005.03</v>
      </c>
      <c r="J221" s="18">
        <v>3906.55</v>
      </c>
      <c r="K221" s="18">
        <v>17126.96</v>
      </c>
      <c r="L221" s="19">
        <f t="shared" si="2"/>
        <v>620426.06000000006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1004462.64</v>
      </c>
      <c r="G222" s="18">
        <v>378598.96</v>
      </c>
      <c r="H222" s="18">
        <v>1894</v>
      </c>
      <c r="I222" s="18">
        <v>7911.32</v>
      </c>
      <c r="J222" s="18">
        <v>0</v>
      </c>
      <c r="K222" s="18">
        <v>0</v>
      </c>
      <c r="L222" s="19">
        <f t="shared" si="2"/>
        <v>1392866.9200000002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155556.76999999999</v>
      </c>
      <c r="G223" s="18">
        <v>39186.370000000003</v>
      </c>
      <c r="H223" s="18">
        <v>4212.95</v>
      </c>
      <c r="I223" s="18">
        <v>0</v>
      </c>
      <c r="J223" s="18">
        <v>0</v>
      </c>
      <c r="K223" s="18">
        <v>0</v>
      </c>
      <c r="L223" s="19">
        <f t="shared" si="2"/>
        <v>198956.09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1150876.5900000001</v>
      </c>
      <c r="G224" s="18">
        <v>427243</v>
      </c>
      <c r="H224" s="18">
        <v>910087.01</v>
      </c>
      <c r="I224" s="18">
        <v>149423.17000000001</v>
      </c>
      <c r="J224" s="18">
        <v>5959.24</v>
      </c>
      <c r="K224" s="18">
        <v>-17869.09</v>
      </c>
      <c r="L224" s="19">
        <f t="shared" si="2"/>
        <v>2625719.9200000004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29487.66</v>
      </c>
      <c r="G225" s="18">
        <v>10946.78</v>
      </c>
      <c r="H225" s="18">
        <v>1046906.59</v>
      </c>
      <c r="I225" s="18">
        <v>205.16</v>
      </c>
      <c r="J225" s="18">
        <v>0</v>
      </c>
      <c r="K225" s="18">
        <v>0</v>
      </c>
      <c r="L225" s="19">
        <f t="shared" si="2"/>
        <v>1087546.19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56477.33</v>
      </c>
      <c r="G226" s="18">
        <v>20966.240000000002</v>
      </c>
      <c r="H226" s="18">
        <v>32906.92</v>
      </c>
      <c r="I226" s="18">
        <v>0</v>
      </c>
      <c r="J226" s="18">
        <v>0</v>
      </c>
      <c r="K226" s="18">
        <v>0</v>
      </c>
      <c r="L226" s="19">
        <f>SUM(F226:K226)</f>
        <v>110350.49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17363927.759999998</v>
      </c>
      <c r="G228" s="41">
        <f>SUM(G214:G227)</f>
        <v>6359122.8200000003</v>
      </c>
      <c r="H228" s="41">
        <f>SUM(H214:H227)</f>
        <v>3477305.34</v>
      </c>
      <c r="I228" s="41">
        <f>SUM(I214:I227)</f>
        <v>538720.80000000005</v>
      </c>
      <c r="J228" s="41">
        <f>SUM(J214:J227)</f>
        <v>328253.64999999997</v>
      </c>
      <c r="K228" s="41">
        <f t="shared" si="3"/>
        <v>-742.13000000000102</v>
      </c>
      <c r="L228" s="41">
        <f t="shared" si="3"/>
        <v>28066588.240000002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10675530.220000001</v>
      </c>
      <c r="G232" s="18">
        <v>3867967.71</v>
      </c>
      <c r="H232" s="18">
        <v>194166.1</v>
      </c>
      <c r="I232" s="18">
        <v>202108</v>
      </c>
      <c r="J232" s="18">
        <v>49764.27</v>
      </c>
      <c r="K232" s="18">
        <v>0</v>
      </c>
      <c r="L232" s="19">
        <f>SUM(F232:K232)</f>
        <v>14989536.299999999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2354127.96</v>
      </c>
      <c r="G233" s="18">
        <v>873929.25</v>
      </c>
      <c r="H233" s="18">
        <v>2730487.04</v>
      </c>
      <c r="I233" s="18">
        <v>9911.17</v>
      </c>
      <c r="J233" s="18">
        <v>0</v>
      </c>
      <c r="K233" s="18">
        <v>0</v>
      </c>
      <c r="L233" s="19">
        <f>SUM(F233:K233)</f>
        <v>5968455.4199999999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2465407.91</v>
      </c>
      <c r="G234" s="18">
        <v>915240.05</v>
      </c>
      <c r="H234" s="18">
        <v>29054.23</v>
      </c>
      <c r="I234" s="18">
        <v>140799.57</v>
      </c>
      <c r="J234" s="18">
        <v>25458.79</v>
      </c>
      <c r="K234" s="18">
        <v>0</v>
      </c>
      <c r="L234" s="19">
        <f>SUM(F234:K234)</f>
        <v>3575960.55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426908.07</v>
      </c>
      <c r="G235" s="18">
        <v>158482.26</v>
      </c>
      <c r="H235" s="18">
        <v>186953.17</v>
      </c>
      <c r="I235" s="18">
        <v>14757.21</v>
      </c>
      <c r="J235" s="18">
        <v>2330.9</v>
      </c>
      <c r="K235" s="18">
        <v>0</v>
      </c>
      <c r="L235" s="19">
        <f>SUM(F235:K235)</f>
        <v>789431.6100000001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2943256.65</v>
      </c>
      <c r="G237" s="18">
        <v>1092633.1100000001</v>
      </c>
      <c r="H237" s="18">
        <v>304124.02</v>
      </c>
      <c r="I237" s="18">
        <v>8317.9</v>
      </c>
      <c r="J237" s="18">
        <v>2419.85</v>
      </c>
      <c r="K237" s="18">
        <v>0</v>
      </c>
      <c r="L237" s="19">
        <f t="shared" ref="L237:L243" si="4">SUM(F237:K237)</f>
        <v>4350751.5299999993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626283.22</v>
      </c>
      <c r="G238" s="18">
        <v>228404.35</v>
      </c>
      <c r="H238" s="18">
        <v>71435.73</v>
      </c>
      <c r="I238" s="18">
        <v>149249.10999999999</v>
      </c>
      <c r="J238" s="18">
        <v>401117</v>
      </c>
      <c r="K238" s="18">
        <v>0</v>
      </c>
      <c r="L238" s="19">
        <f t="shared" si="4"/>
        <v>1476489.41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522243.59</v>
      </c>
      <c r="G239" s="18">
        <v>208206.96</v>
      </c>
      <c r="H239" s="18">
        <v>158450.76</v>
      </c>
      <c r="I239" s="18">
        <v>7484.98</v>
      </c>
      <c r="J239" s="18">
        <v>5842.21</v>
      </c>
      <c r="K239" s="18">
        <v>25613.21</v>
      </c>
      <c r="L239" s="19">
        <f t="shared" si="4"/>
        <v>927841.71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1285236.22</v>
      </c>
      <c r="G240" s="18">
        <v>485660.33</v>
      </c>
      <c r="H240" s="18">
        <v>3145</v>
      </c>
      <c r="I240" s="18">
        <v>0</v>
      </c>
      <c r="J240" s="18">
        <v>0</v>
      </c>
      <c r="K240" s="18">
        <v>0</v>
      </c>
      <c r="L240" s="19">
        <f t="shared" si="4"/>
        <v>1774041.55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232633.79</v>
      </c>
      <c r="G241" s="18">
        <v>58602.879999999997</v>
      </c>
      <c r="H241" s="18">
        <v>6300.42</v>
      </c>
      <c r="I241" s="18">
        <v>0</v>
      </c>
      <c r="J241" s="18">
        <v>0</v>
      </c>
      <c r="K241" s="18"/>
      <c r="L241" s="19">
        <f t="shared" si="4"/>
        <v>297537.08999999997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2077557.08</v>
      </c>
      <c r="G242" s="18">
        <v>771257.1</v>
      </c>
      <c r="H242" s="18">
        <v>1926761.22</v>
      </c>
      <c r="I242" s="18">
        <v>223461.05</v>
      </c>
      <c r="J242" s="18">
        <v>8912</v>
      </c>
      <c r="K242" s="18">
        <v>-26723.06</v>
      </c>
      <c r="L242" s="19">
        <f t="shared" si="4"/>
        <v>4981225.3900000006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38829.050000000003</v>
      </c>
      <c r="G243" s="18">
        <v>14414.62</v>
      </c>
      <c r="H243" s="18">
        <v>1418463.78</v>
      </c>
      <c r="I243" s="18">
        <v>270.16000000000003</v>
      </c>
      <c r="J243" s="18">
        <v>0</v>
      </c>
      <c r="K243" s="18">
        <v>0</v>
      </c>
      <c r="L243" s="19">
        <f t="shared" si="4"/>
        <v>1471977.6099999999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84461.36</v>
      </c>
      <c r="G244" s="18">
        <v>31354.83</v>
      </c>
      <c r="H244" s="18">
        <v>49212.02</v>
      </c>
      <c r="I244" s="18">
        <v>0</v>
      </c>
      <c r="J244" s="18">
        <v>0</v>
      </c>
      <c r="K244" s="18">
        <v>0</v>
      </c>
      <c r="L244" s="19">
        <f>SUM(F244:K244)</f>
        <v>165028.21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23732475.119999994</v>
      </c>
      <c r="G246" s="41">
        <f t="shared" si="5"/>
        <v>8706153.4499999993</v>
      </c>
      <c r="H246" s="41">
        <f t="shared" si="5"/>
        <v>7078553.4899999993</v>
      </c>
      <c r="I246" s="41">
        <f t="shared" si="5"/>
        <v>756359.15</v>
      </c>
      <c r="J246" s="41">
        <f t="shared" si="5"/>
        <v>495845.02</v>
      </c>
      <c r="K246" s="41">
        <f t="shared" si="5"/>
        <v>-1109.8500000000022</v>
      </c>
      <c r="L246" s="41">
        <f t="shared" si="5"/>
        <v>40768276.380000003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141848.70000000001</v>
      </c>
      <c r="G250" s="18">
        <v>49233.94</v>
      </c>
      <c r="H250" s="18">
        <v>120</v>
      </c>
      <c r="I250" s="18">
        <v>0</v>
      </c>
      <c r="J250" s="18">
        <v>0</v>
      </c>
      <c r="K250" s="18">
        <v>0</v>
      </c>
      <c r="L250" s="19">
        <f t="shared" si="6"/>
        <v>191202.64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>
        <v>186907.99</v>
      </c>
      <c r="L254" s="19">
        <f t="shared" si="6"/>
        <v>186907.99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141848.70000000001</v>
      </c>
      <c r="G255" s="41">
        <f t="shared" si="7"/>
        <v>49233.94</v>
      </c>
      <c r="H255" s="41">
        <f t="shared" si="7"/>
        <v>120</v>
      </c>
      <c r="I255" s="41">
        <f t="shared" si="7"/>
        <v>0</v>
      </c>
      <c r="J255" s="41">
        <f t="shared" si="7"/>
        <v>0</v>
      </c>
      <c r="K255" s="41">
        <f t="shared" si="7"/>
        <v>186907.99</v>
      </c>
      <c r="L255" s="41">
        <f>SUM(F255:K255)</f>
        <v>378110.63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76941467.049999997</v>
      </c>
      <c r="G256" s="41">
        <f t="shared" si="8"/>
        <v>28169539.330000006</v>
      </c>
      <c r="H256" s="41">
        <f t="shared" si="8"/>
        <v>16154515.889999997</v>
      </c>
      <c r="I256" s="41">
        <f t="shared" si="8"/>
        <v>2273795.54</v>
      </c>
      <c r="J256" s="41">
        <f t="shared" si="8"/>
        <v>1517230.21</v>
      </c>
      <c r="K256" s="41">
        <f t="shared" si="8"/>
        <v>183385.77</v>
      </c>
      <c r="L256" s="41">
        <f t="shared" si="8"/>
        <v>125239933.79000002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9460734</v>
      </c>
      <c r="L259" s="19">
        <f>SUM(F259:K259)</f>
        <v>9460734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3630043.38</v>
      </c>
      <c r="L260" s="19">
        <f>SUM(F260:K260)</f>
        <v>3630043.38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158283</v>
      </c>
      <c r="L265" s="19">
        <f t="shared" si="9"/>
        <v>158283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13249060.379999999</v>
      </c>
      <c r="L269" s="41">
        <f t="shared" si="9"/>
        <v>13249060.379999999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76941467.049999997</v>
      </c>
      <c r="G270" s="42">
        <f t="shared" si="11"/>
        <v>28169539.330000006</v>
      </c>
      <c r="H270" s="42">
        <f t="shared" si="11"/>
        <v>16154515.889999997</v>
      </c>
      <c r="I270" s="42">
        <f t="shared" si="11"/>
        <v>2273795.54</v>
      </c>
      <c r="J270" s="42">
        <f t="shared" si="11"/>
        <v>1517230.21</v>
      </c>
      <c r="K270" s="42">
        <f t="shared" si="11"/>
        <v>13432446.149999999</v>
      </c>
      <c r="L270" s="42">
        <f t="shared" si="11"/>
        <v>138488994.17000002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213503.39</v>
      </c>
      <c r="G275" s="18">
        <v>83963.76</v>
      </c>
      <c r="H275" s="18">
        <v>0</v>
      </c>
      <c r="I275" s="18">
        <v>18670.140000000003</v>
      </c>
      <c r="J275" s="18">
        <v>17550.400000000001</v>
      </c>
      <c r="K275" s="18">
        <v>0</v>
      </c>
      <c r="L275" s="19">
        <f>SUM(F275:K275)</f>
        <v>333687.69000000006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2254003.9300000002</v>
      </c>
      <c r="G276" s="18">
        <v>383274.82999999996</v>
      </c>
      <c r="H276" s="18">
        <v>275398.40000000002</v>
      </c>
      <c r="I276" s="18">
        <v>255046.08000000002</v>
      </c>
      <c r="J276" s="18">
        <v>345702.22</v>
      </c>
      <c r="K276" s="18">
        <v>0</v>
      </c>
      <c r="L276" s="19">
        <f>SUM(F276:K276)</f>
        <v>3513425.46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392645.86</v>
      </c>
      <c r="G278" s="18">
        <v>68666.11</v>
      </c>
      <c r="H278" s="18">
        <v>25824.6</v>
      </c>
      <c r="I278" s="18">
        <v>51443.15</v>
      </c>
      <c r="J278" s="18">
        <v>0</v>
      </c>
      <c r="K278" s="18">
        <v>0</v>
      </c>
      <c r="L278" s="19">
        <f>SUM(F278:K278)</f>
        <v>538579.72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125735.77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125735.77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292820.70999999996</v>
      </c>
      <c r="G281" s="18">
        <v>96476.239999999991</v>
      </c>
      <c r="H281" s="18">
        <v>86350.95</v>
      </c>
      <c r="I281" s="18">
        <v>18902.870000000003</v>
      </c>
      <c r="J281" s="18">
        <v>35980.86</v>
      </c>
      <c r="K281" s="18">
        <v>0</v>
      </c>
      <c r="L281" s="19">
        <f t="shared" si="12"/>
        <v>530531.63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59433.53</v>
      </c>
      <c r="G283" s="18">
        <v>26483.15</v>
      </c>
      <c r="H283" s="18">
        <v>0</v>
      </c>
      <c r="I283" s="18">
        <v>0</v>
      </c>
      <c r="J283" s="18">
        <v>0</v>
      </c>
      <c r="K283" s="18">
        <v>-44.29</v>
      </c>
      <c r="L283" s="19">
        <f t="shared" si="12"/>
        <v>85872.39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63182.6</v>
      </c>
      <c r="L284" s="19">
        <f t="shared" si="12"/>
        <v>63182.6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39926.160000000003</v>
      </c>
      <c r="G285" s="18">
        <v>0</v>
      </c>
      <c r="H285" s="18">
        <v>0</v>
      </c>
      <c r="I285" s="18">
        <v>0</v>
      </c>
      <c r="J285" s="18">
        <v>0</v>
      </c>
      <c r="K285" s="18">
        <v>21498.7</v>
      </c>
      <c r="L285" s="19">
        <f t="shared" si="12"/>
        <v>61424.86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19378.84</v>
      </c>
      <c r="I286" s="18">
        <v>0</v>
      </c>
      <c r="J286" s="18">
        <v>0</v>
      </c>
      <c r="K286" s="18">
        <v>0</v>
      </c>
      <c r="L286" s="19">
        <f t="shared" si="12"/>
        <v>19378.84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494.67</v>
      </c>
      <c r="I287" s="18">
        <v>784.88</v>
      </c>
      <c r="J287" s="18">
        <v>0</v>
      </c>
      <c r="K287" s="18">
        <v>0</v>
      </c>
      <c r="L287" s="19">
        <f>SUM(F287:K287)</f>
        <v>1279.55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3252333.58</v>
      </c>
      <c r="G289" s="42">
        <f t="shared" si="13"/>
        <v>658864.09</v>
      </c>
      <c r="H289" s="42">
        <f t="shared" si="13"/>
        <v>533183.2300000001</v>
      </c>
      <c r="I289" s="42">
        <f t="shared" si="13"/>
        <v>344847.12000000005</v>
      </c>
      <c r="J289" s="42">
        <f t="shared" si="13"/>
        <v>399233.48</v>
      </c>
      <c r="K289" s="42">
        <f t="shared" si="13"/>
        <v>84637.01</v>
      </c>
      <c r="L289" s="41">
        <f t="shared" si="13"/>
        <v>5273098.5099999988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740610.11</v>
      </c>
      <c r="G295" s="18">
        <v>264871.93</v>
      </c>
      <c r="H295" s="18">
        <v>241376.8</v>
      </c>
      <c r="I295" s="18">
        <v>3512.05</v>
      </c>
      <c r="J295" s="18">
        <v>0</v>
      </c>
      <c r="K295" s="18">
        <v>0</v>
      </c>
      <c r="L295" s="19">
        <f>SUM(F295:K295)</f>
        <v>1250370.8900000001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194181.01</v>
      </c>
      <c r="G297" s="18">
        <v>33958.480000000003</v>
      </c>
      <c r="H297" s="18">
        <v>12771.43</v>
      </c>
      <c r="I297" s="18">
        <v>25440.95</v>
      </c>
      <c r="J297" s="18">
        <v>0</v>
      </c>
      <c r="K297" s="18">
        <v>0</v>
      </c>
      <c r="L297" s="19">
        <f>SUM(F297:K297)</f>
        <v>266351.87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67234.34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67234.34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71535.45</v>
      </c>
      <c r="G300" s="18">
        <v>18545.560000000001</v>
      </c>
      <c r="H300" s="18">
        <v>31149.33</v>
      </c>
      <c r="I300" s="18">
        <v>7595.8</v>
      </c>
      <c r="J300" s="18">
        <v>822.36</v>
      </c>
      <c r="K300" s="18">
        <v>0</v>
      </c>
      <c r="L300" s="19">
        <f t="shared" si="14"/>
        <v>129648.5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29392.55</v>
      </c>
      <c r="G302" s="18">
        <v>13097.1</v>
      </c>
      <c r="H302" s="18">
        <v>0</v>
      </c>
      <c r="I302" s="18">
        <v>0</v>
      </c>
      <c r="J302" s="18">
        <v>0</v>
      </c>
      <c r="K302" s="18">
        <v>-21.9</v>
      </c>
      <c r="L302" s="19">
        <f t="shared" si="14"/>
        <v>42467.75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13312.04</v>
      </c>
      <c r="L303" s="19">
        <f t="shared" si="14"/>
        <v>13312.04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19095.12</v>
      </c>
      <c r="G304" s="18">
        <v>0</v>
      </c>
      <c r="H304" s="18">
        <v>0</v>
      </c>
      <c r="I304" s="18">
        <v>0</v>
      </c>
      <c r="J304" s="18">
        <v>0</v>
      </c>
      <c r="K304" s="18">
        <v>10281.99</v>
      </c>
      <c r="L304" s="19">
        <f t="shared" si="14"/>
        <v>29377.11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6057.16</v>
      </c>
      <c r="I305" s="18">
        <v>0</v>
      </c>
      <c r="J305" s="18">
        <v>0</v>
      </c>
      <c r="K305" s="18">
        <v>0</v>
      </c>
      <c r="L305" s="19">
        <f t="shared" si="14"/>
        <v>6057.16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1054814.24</v>
      </c>
      <c r="G308" s="42">
        <f t="shared" si="15"/>
        <v>330473.06999999995</v>
      </c>
      <c r="H308" s="42">
        <f t="shared" si="15"/>
        <v>358589.05999999994</v>
      </c>
      <c r="I308" s="42">
        <f t="shared" si="15"/>
        <v>36548.800000000003</v>
      </c>
      <c r="J308" s="42">
        <f t="shared" si="15"/>
        <v>822.36</v>
      </c>
      <c r="K308" s="42">
        <f t="shared" si="15"/>
        <v>23572.13</v>
      </c>
      <c r="L308" s="41">
        <f t="shared" si="15"/>
        <v>1804819.6600000004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150</v>
      </c>
      <c r="G313" s="18">
        <v>11.48</v>
      </c>
      <c r="H313" s="18">
        <v>0</v>
      </c>
      <c r="I313" s="18">
        <v>666.55</v>
      </c>
      <c r="J313" s="18">
        <v>0</v>
      </c>
      <c r="K313" s="18">
        <v>0</v>
      </c>
      <c r="L313" s="19">
        <f>SUM(F313:K313)</f>
        <v>828.03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934307.17999999993</v>
      </c>
      <c r="G314" s="18">
        <v>290285.14999999997</v>
      </c>
      <c r="H314" s="18">
        <v>616562.75</v>
      </c>
      <c r="I314" s="18">
        <v>8974.76</v>
      </c>
      <c r="J314" s="18">
        <v>0</v>
      </c>
      <c r="K314" s="18">
        <v>0</v>
      </c>
      <c r="L314" s="19">
        <f>SUM(F314:K314)</f>
        <v>1850129.8399999999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58802.990000000005</v>
      </c>
      <c r="G315" s="18">
        <v>25187.390000000003</v>
      </c>
      <c r="H315" s="18">
        <v>378</v>
      </c>
      <c r="I315" s="18">
        <v>17543.940000000002</v>
      </c>
      <c r="J315" s="18">
        <v>158605.20000000001</v>
      </c>
      <c r="K315" s="18">
        <v>-11337.3</v>
      </c>
      <c r="L315" s="19">
        <f>SUM(F315:K315)</f>
        <v>249180.22000000003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114090.24000000001</v>
      </c>
      <c r="G316" s="18">
        <v>7323.21</v>
      </c>
      <c r="H316" s="18">
        <v>9368.93</v>
      </c>
      <c r="I316" s="18">
        <v>81378.320000000007</v>
      </c>
      <c r="J316" s="18">
        <v>6791.4599999999991</v>
      </c>
      <c r="K316" s="18">
        <v>147750</v>
      </c>
      <c r="L316" s="19">
        <f>SUM(F316:K316)</f>
        <v>366702.16000000003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109206.70999999999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109206.70999999999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351145.96</v>
      </c>
      <c r="G319" s="18">
        <v>64563.03</v>
      </c>
      <c r="H319" s="18">
        <v>261168.68999999997</v>
      </c>
      <c r="I319" s="18">
        <v>20932.46</v>
      </c>
      <c r="J319" s="18">
        <v>1229.8399999999999</v>
      </c>
      <c r="K319" s="18">
        <v>0</v>
      </c>
      <c r="L319" s="19">
        <f t="shared" si="16"/>
        <v>699039.97999999986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23369.780000000002</v>
      </c>
      <c r="L322" s="19">
        <f t="shared" si="16"/>
        <v>23369.780000000002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27774.720000000001</v>
      </c>
      <c r="G323" s="18">
        <v>0</v>
      </c>
      <c r="H323" s="18">
        <v>0</v>
      </c>
      <c r="I323" s="18">
        <v>0</v>
      </c>
      <c r="J323" s="18">
        <v>0</v>
      </c>
      <c r="K323" s="18">
        <v>14955.62</v>
      </c>
      <c r="L323" s="19">
        <f t="shared" si="16"/>
        <v>42730.340000000004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18382.52</v>
      </c>
      <c r="I324" s="18">
        <v>0</v>
      </c>
      <c r="J324" s="18">
        <v>0</v>
      </c>
      <c r="K324" s="18">
        <v>0</v>
      </c>
      <c r="L324" s="19">
        <f t="shared" si="16"/>
        <v>18382.52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1486271.0899999999</v>
      </c>
      <c r="G327" s="42">
        <f t="shared" si="17"/>
        <v>387370.26</v>
      </c>
      <c r="H327" s="42">
        <f t="shared" si="17"/>
        <v>1015067.6</v>
      </c>
      <c r="I327" s="42">
        <f t="shared" si="17"/>
        <v>129496.03</v>
      </c>
      <c r="J327" s="42">
        <f t="shared" si="17"/>
        <v>166626.5</v>
      </c>
      <c r="K327" s="42">
        <f t="shared" si="17"/>
        <v>174738.1</v>
      </c>
      <c r="L327" s="41">
        <f t="shared" si="17"/>
        <v>3359569.5799999996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16210.38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16210.38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112323.93999999999</v>
      </c>
      <c r="G332" s="18">
        <v>4880.6000000000004</v>
      </c>
      <c r="H332" s="18">
        <v>9064.130000000001</v>
      </c>
      <c r="I332" s="18">
        <v>22838.91</v>
      </c>
      <c r="J332" s="18">
        <v>20045.54</v>
      </c>
      <c r="K332" s="18">
        <v>0</v>
      </c>
      <c r="L332" s="19">
        <f t="shared" si="18"/>
        <v>169153.12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112323.93999999999</v>
      </c>
      <c r="G336" s="41">
        <f t="shared" si="19"/>
        <v>4880.6000000000004</v>
      </c>
      <c r="H336" s="41">
        <f t="shared" si="19"/>
        <v>25274.510000000002</v>
      </c>
      <c r="I336" s="41">
        <f t="shared" si="19"/>
        <v>22838.91</v>
      </c>
      <c r="J336" s="41">
        <f t="shared" si="19"/>
        <v>20045.54</v>
      </c>
      <c r="K336" s="41">
        <f t="shared" si="19"/>
        <v>0</v>
      </c>
      <c r="L336" s="41">
        <f t="shared" si="18"/>
        <v>185363.5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5905742.8500000006</v>
      </c>
      <c r="G337" s="41">
        <f t="shared" si="20"/>
        <v>1381588.02</v>
      </c>
      <c r="H337" s="41">
        <f t="shared" si="20"/>
        <v>1932114.4000000001</v>
      </c>
      <c r="I337" s="41">
        <f t="shared" si="20"/>
        <v>533730.8600000001</v>
      </c>
      <c r="J337" s="41">
        <f t="shared" si="20"/>
        <v>586727.88</v>
      </c>
      <c r="K337" s="41">
        <f t="shared" si="20"/>
        <v>282947.24</v>
      </c>
      <c r="L337" s="41">
        <f t="shared" si="20"/>
        <v>10622851.249999998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f>186907.99*0</f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5905742.8500000006</v>
      </c>
      <c r="G351" s="41">
        <f>G337</f>
        <v>1381588.02</v>
      </c>
      <c r="H351" s="41">
        <f>H337</f>
        <v>1932114.4000000001</v>
      </c>
      <c r="I351" s="41">
        <f>I337</f>
        <v>533730.8600000001</v>
      </c>
      <c r="J351" s="41">
        <f>J337</f>
        <v>586727.88</v>
      </c>
      <c r="K351" s="47">
        <f>K337+K350</f>
        <v>282947.24</v>
      </c>
      <c r="L351" s="41">
        <f>L337+L350</f>
        <v>10622851.249999998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800577.22</v>
      </c>
      <c r="G357" s="18">
        <v>311948.98</v>
      </c>
      <c r="H357" s="18">
        <v>25317.809999999998</v>
      </c>
      <c r="I357" s="18">
        <v>1016860.57</v>
      </c>
      <c r="J357" s="18">
        <v>22553.260000000002</v>
      </c>
      <c r="K357" s="18">
        <v>0</v>
      </c>
      <c r="L357" s="13">
        <f>SUM(F357:K357)</f>
        <v>2177257.84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473066.04999999993</v>
      </c>
      <c r="G358" s="18">
        <v>127040.75</v>
      </c>
      <c r="H358" s="18">
        <v>11150.800000000001</v>
      </c>
      <c r="I358" s="18">
        <v>598118.40999999992</v>
      </c>
      <c r="J358" s="18">
        <v>4929.7299999999996</v>
      </c>
      <c r="K358" s="18">
        <v>0</v>
      </c>
      <c r="L358" s="19">
        <f>SUM(F358:K358)</f>
        <v>1214305.7399999998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645061</v>
      </c>
      <c r="G359" s="18">
        <v>145926.15000000002</v>
      </c>
      <c r="H359" s="18">
        <v>16034.12</v>
      </c>
      <c r="I359" s="18">
        <v>783230.95000000007</v>
      </c>
      <c r="J359" s="18">
        <v>9077.880000000001</v>
      </c>
      <c r="K359" s="18">
        <v>0</v>
      </c>
      <c r="L359" s="19">
        <f>SUM(F359:K359)</f>
        <v>1599330.1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1918704.27</v>
      </c>
      <c r="G361" s="47">
        <f t="shared" si="22"/>
        <v>584915.88</v>
      </c>
      <c r="H361" s="47">
        <f t="shared" si="22"/>
        <v>52502.73</v>
      </c>
      <c r="I361" s="47">
        <f t="shared" si="22"/>
        <v>2398209.9300000002</v>
      </c>
      <c r="J361" s="47">
        <f t="shared" si="22"/>
        <v>36560.870000000003</v>
      </c>
      <c r="K361" s="47">
        <f t="shared" si="22"/>
        <v>0</v>
      </c>
      <c r="L361" s="47">
        <f t="shared" si="22"/>
        <v>4990893.68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906644.99000000011</v>
      </c>
      <c r="G366" s="18">
        <v>533570.72</v>
      </c>
      <c r="H366" s="18">
        <v>694832.54</v>
      </c>
      <c r="I366" s="56">
        <f>SUM(F366:H366)</f>
        <v>2135048.25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110215.58000000005</v>
      </c>
      <c r="G367" s="63">
        <v>64547.69</v>
      </c>
      <c r="H367" s="63">
        <v>88398.409999999989</v>
      </c>
      <c r="I367" s="56">
        <f>SUM(F367:H367)</f>
        <v>263161.68000000005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1016860.5700000002</v>
      </c>
      <c r="G368" s="47">
        <f>SUM(G366:G367)</f>
        <v>598118.40999999992</v>
      </c>
      <c r="H368" s="47">
        <f>SUM(H366:H367)</f>
        <v>783230.95000000007</v>
      </c>
      <c r="I368" s="47">
        <f>SUM(I366:I367)</f>
        <v>2398209.9300000002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>
        <v>303018.49</v>
      </c>
      <c r="L374" s="13">
        <f t="shared" ref="L374:L380" si="23">SUM(F374:K374)</f>
        <v>303018.49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>
        <v>3175040.64</v>
      </c>
      <c r="L378" s="13">
        <f t="shared" si="23"/>
        <v>3175040.64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3478059.13</v>
      </c>
      <c r="L381" s="47">
        <f t="shared" si="24"/>
        <v>3478059.13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158283</v>
      </c>
      <c r="H391" s="18">
        <v>7986.06</v>
      </c>
      <c r="I391" s="18"/>
      <c r="J391" s="24" t="s">
        <v>289</v>
      </c>
      <c r="K391" s="24" t="s">
        <v>289</v>
      </c>
      <c r="L391" s="56">
        <f t="shared" si="25"/>
        <v>166269.06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158283</v>
      </c>
      <c r="H392" s="139">
        <f>SUM(H386:H391)</f>
        <v>7986.06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166269.06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1867.83</v>
      </c>
      <c r="I399" s="18">
        <v>259285.25</v>
      </c>
      <c r="J399" s="24" t="s">
        <v>289</v>
      </c>
      <c r="K399" s="24" t="s">
        <v>289</v>
      </c>
      <c r="L399" s="56">
        <f t="shared" si="26"/>
        <v>261153.08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1867.83</v>
      </c>
      <c r="I400" s="47">
        <f>SUM(I394:I399)</f>
        <v>259285.25</v>
      </c>
      <c r="J400" s="45" t="s">
        <v>289</v>
      </c>
      <c r="K400" s="45" t="s">
        <v>289</v>
      </c>
      <c r="L400" s="47">
        <f>SUM(L394:L399)</f>
        <v>261153.08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 t="s">
        <v>910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f>125157.98+69893.97+273859</f>
        <v>468910.95</v>
      </c>
      <c r="I402" s="18">
        <f>15270+8.3</f>
        <v>15278.3</v>
      </c>
      <c r="J402" s="24" t="s">
        <v>289</v>
      </c>
      <c r="K402" s="24" t="s">
        <v>289</v>
      </c>
      <c r="L402" s="56">
        <f>SUM(F402:K402)</f>
        <v>484189.25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468910.95</v>
      </c>
      <c r="I406" s="47">
        <f>SUM(I402:I405)</f>
        <v>15278.3</v>
      </c>
      <c r="J406" s="49" t="s">
        <v>289</v>
      </c>
      <c r="K406" s="49" t="s">
        <v>289</v>
      </c>
      <c r="L406" s="47">
        <f>SUM(L402:L405)</f>
        <v>484189.25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158283</v>
      </c>
      <c r="H407" s="47">
        <f>H392+H400+H406</f>
        <v>478764.84</v>
      </c>
      <c r="I407" s="47">
        <f>I392+I400+I406</f>
        <v>274563.55</v>
      </c>
      <c r="J407" s="24" t="s">
        <v>289</v>
      </c>
      <c r="K407" s="24" t="s">
        <v>289</v>
      </c>
      <c r="L407" s="47">
        <f>L392+L400+L406</f>
        <v>911611.39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>
        <v>115635</v>
      </c>
      <c r="K417" s="18">
        <v>1787420</v>
      </c>
      <c r="L417" s="56">
        <f t="shared" si="27"/>
        <v>1903055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115635</v>
      </c>
      <c r="K418" s="139">
        <f t="shared" si="28"/>
        <v>1787420</v>
      </c>
      <c r="L418" s="47">
        <f t="shared" si="28"/>
        <v>1903055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f>2625+2550</f>
        <v>5175</v>
      </c>
      <c r="G425" s="18">
        <v>1500</v>
      </c>
      <c r="H425" s="18">
        <f>160+240+950.98+4500</f>
        <v>5850.98</v>
      </c>
      <c r="I425" s="18">
        <f>29886.9+2872.18+2192.16+6907.3</f>
        <v>41858.540000000008</v>
      </c>
      <c r="J425" s="18">
        <f>5076+15504.9</f>
        <v>20580.900000000001</v>
      </c>
      <c r="K425" s="18">
        <v>75000</v>
      </c>
      <c r="L425" s="56">
        <f t="shared" si="29"/>
        <v>149965.42000000001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5175</v>
      </c>
      <c r="G426" s="47">
        <f t="shared" si="30"/>
        <v>1500</v>
      </c>
      <c r="H426" s="47">
        <f t="shared" si="30"/>
        <v>5850.98</v>
      </c>
      <c r="I426" s="47">
        <f t="shared" si="30"/>
        <v>41858.540000000008</v>
      </c>
      <c r="J426" s="47">
        <f t="shared" si="30"/>
        <v>20580.900000000001</v>
      </c>
      <c r="K426" s="47">
        <f t="shared" si="30"/>
        <v>75000</v>
      </c>
      <c r="L426" s="47">
        <f t="shared" si="30"/>
        <v>149965.42000000001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910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v>170185.73</v>
      </c>
      <c r="I428" s="18"/>
      <c r="J428" s="18"/>
      <c r="K428" s="18"/>
      <c r="L428" s="56">
        <f>SUM(F428:K428)</f>
        <v>170185.73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170185.73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170185.73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5175</v>
      </c>
      <c r="G433" s="47">
        <f t="shared" si="32"/>
        <v>1500</v>
      </c>
      <c r="H433" s="47">
        <f t="shared" si="32"/>
        <v>176036.71000000002</v>
      </c>
      <c r="I433" s="47">
        <f t="shared" si="32"/>
        <v>41858.540000000008</v>
      </c>
      <c r="J433" s="47">
        <f t="shared" si="32"/>
        <v>136215.9</v>
      </c>
      <c r="K433" s="47">
        <f t="shared" si="32"/>
        <v>1862420</v>
      </c>
      <c r="L433" s="47">
        <f t="shared" si="32"/>
        <v>2223206.15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3045555.04</v>
      </c>
      <c r="G438" s="18">
        <f>77554.09+1236413.11</f>
        <v>1313967.2000000002</v>
      </c>
      <c r="H438" s="18">
        <f>88445.33</f>
        <v>88445.33</v>
      </c>
      <c r="I438" s="56">
        <f t="shared" ref="I438:I444" si="33">SUM(F438:H438)</f>
        <v>4447967.57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f>387519.3+2667831.55+1798238.99</f>
        <v>4853589.84</v>
      </c>
      <c r="I439" s="56">
        <f t="shared" si="33"/>
        <v>4853589.84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145351</v>
      </c>
      <c r="G440" s="18">
        <v>36998.07</v>
      </c>
      <c r="H440" s="18">
        <v>1165.22</v>
      </c>
      <c r="I440" s="56">
        <f t="shared" si="33"/>
        <v>183514.29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3190906.04</v>
      </c>
      <c r="G445" s="13">
        <f>SUM(G438:G444)</f>
        <v>1350965.2700000003</v>
      </c>
      <c r="H445" s="13">
        <f>SUM(H438:H444)</f>
        <v>4943200.3899999997</v>
      </c>
      <c r="I445" s="13">
        <f>SUM(I438:I444)</f>
        <v>9485071.6999999993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>
        <f>4059533.6+69893.97+273859+15270</f>
        <v>4418556.57</v>
      </c>
      <c r="I456" s="56">
        <f t="shared" si="34"/>
        <v>4418556.57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>
        <f>569663.27+125157.98+8.3-170185.73</f>
        <v>524643.82000000007</v>
      </c>
      <c r="I457" s="56">
        <f t="shared" si="34"/>
        <v>524643.82000000007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30884.97+4305703.49+591103.52+50.53-1780455.49+43619.02</f>
        <v>3190906.0400000005</v>
      </c>
      <c r="G458" s="18">
        <f>1239777.61+111187.66</f>
        <v>1350965.27</v>
      </c>
      <c r="H458" s="18"/>
      <c r="I458" s="56">
        <f t="shared" si="34"/>
        <v>4541871.3100000005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3190906.0400000005</v>
      </c>
      <c r="G459" s="83">
        <f>SUM(G453:G458)</f>
        <v>1350965.27</v>
      </c>
      <c r="H459" s="83">
        <f>SUM(H453:H458)</f>
        <v>4943200.3900000006</v>
      </c>
      <c r="I459" s="83">
        <f>SUM(I453:I458)</f>
        <v>9485071.7000000011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3190906.0400000005</v>
      </c>
      <c r="G460" s="42">
        <f>G451+G459</f>
        <v>1350965.27</v>
      </c>
      <c r="H460" s="42">
        <f>H451+H459</f>
        <v>4943200.3900000006</v>
      </c>
      <c r="I460" s="42">
        <f>I451+I459</f>
        <v>9485071.7000000011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/>
      <c r="G464" s="18">
        <v>384552.29</v>
      </c>
      <c r="H464" s="18">
        <v>1884400.27</v>
      </c>
      <c r="I464" s="18">
        <v>1545970.2</v>
      </c>
      <c r="J464" s="18">
        <v>10796666.460000001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138488994.16999999</v>
      </c>
      <c r="G467" s="18">
        <f>4960452.77+16985.93</f>
        <v>4977438.6999999993</v>
      </c>
      <c r="H467" s="18">
        <v>10578758.699999999</v>
      </c>
      <c r="I467" s="18">
        <f>3916176-186907.99*0</f>
        <v>3916176</v>
      </c>
      <c r="J467" s="18">
        <v>911611.39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138488994.16999999</v>
      </c>
      <c r="G469" s="53">
        <f>SUM(G467:G468)</f>
        <v>4977438.6999999993</v>
      </c>
      <c r="H469" s="53">
        <f>SUM(H467:H468)</f>
        <v>10578758.699999999</v>
      </c>
      <c r="I469" s="53">
        <f>SUM(I467:I468)</f>
        <v>3916176</v>
      </c>
      <c r="J469" s="53">
        <f>SUM(J467:J468)</f>
        <v>911611.39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138488994.16999999</v>
      </c>
      <c r="G471" s="18">
        <f>4973907.75+16985.93</f>
        <v>4990893.68</v>
      </c>
      <c r="H471" s="18">
        <v>10622851.25</v>
      </c>
      <c r="I471" s="18">
        <f>3478059.13+186907.99*0</f>
        <v>3478059.13</v>
      </c>
      <c r="J471" s="18">
        <v>2223206.15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138488994.16999999</v>
      </c>
      <c r="G473" s="53">
        <f>SUM(G471:G472)</f>
        <v>4990893.68</v>
      </c>
      <c r="H473" s="53">
        <f>SUM(H471:H472)</f>
        <v>10622851.25</v>
      </c>
      <c r="I473" s="53">
        <f>SUM(I471:I472)</f>
        <v>3478059.13</v>
      </c>
      <c r="J473" s="53">
        <f>SUM(J471:J472)</f>
        <v>2223206.15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371097.30999999959</v>
      </c>
      <c r="H475" s="53">
        <f>(H464+H469)- H473</f>
        <v>1840307.7199999988</v>
      </c>
      <c r="I475" s="53">
        <f>(I464+I469)- I473</f>
        <v>1984087.0700000003</v>
      </c>
      <c r="J475" s="53">
        <f>(J464+J469)- J473</f>
        <v>9485071.7000000011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86466472</v>
      </c>
      <c r="G494" s="18"/>
      <c r="H494" s="18"/>
      <c r="I494" s="18"/>
      <c r="J494" s="18"/>
      <c r="K494" s="53">
        <f>SUM(F494:J494)</f>
        <v>86466472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1771700</v>
      </c>
      <c r="G495" s="18"/>
      <c r="H495" s="18"/>
      <c r="I495" s="18"/>
      <c r="J495" s="18"/>
      <c r="K495" s="53">
        <f t="shared" ref="K495:K502" si="35">SUM(F495:J495)</f>
        <v>1771700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9460735</v>
      </c>
      <c r="G496" s="18"/>
      <c r="H496" s="18"/>
      <c r="I496" s="18"/>
      <c r="J496" s="18"/>
      <c r="K496" s="53">
        <f t="shared" si="35"/>
        <v>9460735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78777437</v>
      </c>
      <c r="G497" s="204"/>
      <c r="H497" s="204"/>
      <c r="I497" s="204"/>
      <c r="J497" s="204"/>
      <c r="K497" s="205">
        <f t="shared" si="35"/>
        <v>78777437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17822867</v>
      </c>
      <c r="G498" s="18"/>
      <c r="H498" s="18"/>
      <c r="I498" s="18"/>
      <c r="J498" s="18"/>
      <c r="K498" s="53">
        <f t="shared" si="35"/>
        <v>17822867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96600304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96600304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9118907</v>
      </c>
      <c r="G500" s="204"/>
      <c r="H500" s="204"/>
      <c r="I500" s="204"/>
      <c r="J500" s="204"/>
      <c r="K500" s="205">
        <f t="shared" si="35"/>
        <v>9118907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3283054</v>
      </c>
      <c r="G501" s="18"/>
      <c r="H501" s="18"/>
      <c r="I501" s="18"/>
      <c r="J501" s="18"/>
      <c r="K501" s="53">
        <f t="shared" si="35"/>
        <v>3283054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12401961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12401961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10318409.940000001</v>
      </c>
      <c r="G506" s="144">
        <v>2027742.96</v>
      </c>
      <c r="H506" s="144"/>
      <c r="I506" s="144">
        <f>F506+G506-H506</f>
        <v>12346152.900000002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7942963.8199999994</v>
      </c>
      <c r="G520" s="18">
        <v>2936319.4399999985</v>
      </c>
      <c r="H520" s="18">
        <v>579475.61999999988</v>
      </c>
      <c r="I520" s="18">
        <v>103298.19000000003</v>
      </c>
      <c r="J520" s="18">
        <v>147445.85</v>
      </c>
      <c r="K520" s="18">
        <v>0</v>
      </c>
      <c r="L520" s="88">
        <f>SUM(F520:K520)</f>
        <v>11709502.919999996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2572601.5300000003</v>
      </c>
      <c r="G521" s="18">
        <v>944365.0900000002</v>
      </c>
      <c r="H521" s="18">
        <v>1234562.57</v>
      </c>
      <c r="I521" s="18">
        <v>46618.100000000006</v>
      </c>
      <c r="J521" s="18">
        <v>75429.38</v>
      </c>
      <c r="K521" s="18">
        <v>0</v>
      </c>
      <c r="L521" s="88">
        <f>SUM(F521:K521)</f>
        <v>4873576.67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2762817.6400000006</v>
      </c>
      <c r="G522" s="18">
        <v>967027.88000000012</v>
      </c>
      <c r="H522" s="18">
        <v>3368314.9699999988</v>
      </c>
      <c r="I522" s="18">
        <v>78015.59</v>
      </c>
      <c r="J522" s="18">
        <v>122517.65</v>
      </c>
      <c r="K522" s="18">
        <v>0</v>
      </c>
      <c r="L522" s="88">
        <f>SUM(F522:K522)</f>
        <v>7298693.7299999995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13278382.99</v>
      </c>
      <c r="G523" s="108">
        <f t="shared" ref="G523:L523" si="36">SUM(G520:G522)</f>
        <v>4847712.4099999992</v>
      </c>
      <c r="H523" s="108">
        <f t="shared" si="36"/>
        <v>5182353.1599999983</v>
      </c>
      <c r="I523" s="108">
        <f t="shared" si="36"/>
        <v>227931.88000000003</v>
      </c>
      <c r="J523" s="108">
        <f t="shared" si="36"/>
        <v>345392.88</v>
      </c>
      <c r="K523" s="108">
        <f t="shared" si="36"/>
        <v>0</v>
      </c>
      <c r="L523" s="89">
        <f t="shared" si="36"/>
        <v>23881773.319999997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1245412.25</v>
      </c>
      <c r="G525" s="18">
        <v>462337.73864388053</v>
      </c>
      <c r="H525" s="18">
        <v>458405.8</v>
      </c>
      <c r="I525" s="18">
        <v>6954.14</v>
      </c>
      <c r="J525" s="18">
        <v>2786.1200000000003</v>
      </c>
      <c r="K525" s="18">
        <v>0</v>
      </c>
      <c r="L525" s="88">
        <f>SUM(F525:K525)</f>
        <v>2175896.0486438805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643168.42999999993</v>
      </c>
      <c r="G526" s="18">
        <v>238765.15000000002</v>
      </c>
      <c r="H526" s="18">
        <v>245122.06999999995</v>
      </c>
      <c r="I526" s="18">
        <v>2845.05</v>
      </c>
      <c r="J526" s="18">
        <v>1489.8100000000002</v>
      </c>
      <c r="K526" s="18">
        <v>0</v>
      </c>
      <c r="L526" s="88">
        <f>SUM(F526:K526)</f>
        <v>1131390.51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1020351.2299999999</v>
      </c>
      <c r="G527" s="18">
        <v>378787.73</v>
      </c>
      <c r="H527" s="18">
        <v>398144.34</v>
      </c>
      <c r="I527" s="18">
        <v>4621.13</v>
      </c>
      <c r="J527" s="18">
        <v>2419.8599999999997</v>
      </c>
      <c r="K527" s="18">
        <v>0</v>
      </c>
      <c r="L527" s="88">
        <f>SUM(F527:K527)</f>
        <v>1804324.29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2908931.9099999997</v>
      </c>
      <c r="G528" s="89">
        <f t="shared" ref="G528:L528" si="37">SUM(G525:G527)</f>
        <v>1079890.6186438806</v>
      </c>
      <c r="H528" s="89">
        <f t="shared" si="37"/>
        <v>1101672.21</v>
      </c>
      <c r="I528" s="89">
        <f t="shared" si="37"/>
        <v>14420.32</v>
      </c>
      <c r="J528" s="89">
        <f t="shared" si="37"/>
        <v>6695.79</v>
      </c>
      <c r="K528" s="89">
        <f t="shared" si="37"/>
        <v>0</v>
      </c>
      <c r="L528" s="89">
        <f t="shared" si="37"/>
        <v>5111610.8486438803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157041.57</v>
      </c>
      <c r="G530" s="18">
        <v>56315.63</v>
      </c>
      <c r="H530" s="18">
        <v>48137.2</v>
      </c>
      <c r="I530" s="18">
        <v>0</v>
      </c>
      <c r="J530" s="18">
        <v>0</v>
      </c>
      <c r="K530" s="18">
        <v>0</v>
      </c>
      <c r="L530" s="88">
        <f>SUM(F530:K530)</f>
        <v>261494.40000000002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83974.399999999994</v>
      </c>
      <c r="G531" s="18">
        <v>30113.5</v>
      </c>
      <c r="H531" s="18">
        <v>25740.27</v>
      </c>
      <c r="I531" s="18">
        <v>0</v>
      </c>
      <c r="J531" s="18">
        <v>0</v>
      </c>
      <c r="K531" s="18">
        <v>0</v>
      </c>
      <c r="L531" s="88">
        <f>SUM(F531:K531)</f>
        <v>139828.16999999998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136397.07999999999</v>
      </c>
      <c r="G532" s="18">
        <v>48912.44</v>
      </c>
      <c r="H532" s="18">
        <v>41809.14</v>
      </c>
      <c r="I532" s="18">
        <v>0</v>
      </c>
      <c r="J532" s="18">
        <v>0</v>
      </c>
      <c r="K532" s="18">
        <v>0</v>
      </c>
      <c r="L532" s="88">
        <f>SUM(F532:K532)</f>
        <v>227118.65999999997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377413.05</v>
      </c>
      <c r="G533" s="89">
        <f t="shared" ref="G533:L533" si="38">SUM(G530:G532)</f>
        <v>135341.57</v>
      </c>
      <c r="H533" s="89">
        <f t="shared" si="38"/>
        <v>115686.61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628441.23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1552352.43</v>
      </c>
      <c r="I540" s="18"/>
      <c r="J540" s="18"/>
      <c r="K540" s="18"/>
      <c r="L540" s="88">
        <f>SUM(F540:K540)</f>
        <v>1552352.43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485212.01</v>
      </c>
      <c r="I541" s="18"/>
      <c r="J541" s="18"/>
      <c r="K541" s="18"/>
      <c r="L541" s="88">
        <f>SUM(F541:K541)</f>
        <v>485212.01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679188.15</v>
      </c>
      <c r="I542" s="18"/>
      <c r="J542" s="18"/>
      <c r="K542" s="18"/>
      <c r="L542" s="88">
        <f>SUM(F542:K542)</f>
        <v>679188.15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2716752.59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2716752.59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16564727.950000001</v>
      </c>
      <c r="G544" s="89">
        <f t="shared" ref="G544:L544" si="41">G523+G528+G533+G538+G543</f>
        <v>6062944.5986438803</v>
      </c>
      <c r="H544" s="89">
        <f t="shared" si="41"/>
        <v>9116464.5699999984</v>
      </c>
      <c r="I544" s="89">
        <f t="shared" si="41"/>
        <v>242352.20000000004</v>
      </c>
      <c r="J544" s="89">
        <f t="shared" si="41"/>
        <v>352088.67</v>
      </c>
      <c r="K544" s="89">
        <f t="shared" si="41"/>
        <v>0</v>
      </c>
      <c r="L544" s="89">
        <f t="shared" si="41"/>
        <v>32338577.988643877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11709502.919999996</v>
      </c>
      <c r="G548" s="87">
        <f>L525</f>
        <v>2175896.0486438805</v>
      </c>
      <c r="H548" s="87">
        <f>L530</f>
        <v>261494.40000000002</v>
      </c>
      <c r="I548" s="87">
        <f>L535</f>
        <v>0</v>
      </c>
      <c r="J548" s="87">
        <f>L540</f>
        <v>1552352.43</v>
      </c>
      <c r="K548" s="87">
        <f>SUM(F548:J548)</f>
        <v>15699245.798643878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4873576.67</v>
      </c>
      <c r="G549" s="87">
        <f>L526</f>
        <v>1131390.51</v>
      </c>
      <c r="H549" s="87">
        <f>L531</f>
        <v>139828.16999999998</v>
      </c>
      <c r="I549" s="87">
        <f>L536</f>
        <v>0</v>
      </c>
      <c r="J549" s="87">
        <f>L541</f>
        <v>485212.01</v>
      </c>
      <c r="K549" s="87">
        <f>SUM(F549:J549)</f>
        <v>6630007.3599999994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7298693.7299999995</v>
      </c>
      <c r="G550" s="87">
        <f>L527</f>
        <v>1804324.29</v>
      </c>
      <c r="H550" s="87">
        <f>L532</f>
        <v>227118.65999999997</v>
      </c>
      <c r="I550" s="87">
        <f>L537</f>
        <v>0</v>
      </c>
      <c r="J550" s="87">
        <f>L542</f>
        <v>679188.15</v>
      </c>
      <c r="K550" s="87">
        <f>SUM(F550:J550)</f>
        <v>10009324.83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23881773.319999997</v>
      </c>
      <c r="G551" s="89">
        <f t="shared" si="42"/>
        <v>5111610.8486438803</v>
      </c>
      <c r="H551" s="89">
        <f t="shared" si="42"/>
        <v>628441.23</v>
      </c>
      <c r="I551" s="89">
        <f t="shared" si="42"/>
        <v>0</v>
      </c>
      <c r="J551" s="89">
        <f t="shared" si="42"/>
        <v>2716752.59</v>
      </c>
      <c r="K551" s="89">
        <f t="shared" si="42"/>
        <v>32338577.988643877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880306.11</v>
      </c>
      <c r="G561" s="18">
        <v>326798.44000000006</v>
      </c>
      <c r="H561" s="18">
        <v>3855.11</v>
      </c>
      <c r="I561" s="18">
        <v>6806.92</v>
      </c>
      <c r="J561" s="18">
        <v>0</v>
      </c>
      <c r="K561" s="18">
        <v>0</v>
      </c>
      <c r="L561" s="88">
        <f>SUM(F561:K561)</f>
        <v>1217766.58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376343.14</v>
      </c>
      <c r="G562" s="18">
        <v>139710.87324556068</v>
      </c>
      <c r="H562" s="18">
        <v>918.72</v>
      </c>
      <c r="I562" s="18">
        <v>1701.41</v>
      </c>
      <c r="J562" s="18">
        <v>0</v>
      </c>
      <c r="K562" s="18">
        <v>0</v>
      </c>
      <c r="L562" s="88">
        <f>SUM(F562:K562)</f>
        <v>518674.14324556064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329746.98999999993</v>
      </c>
      <c r="G563" s="18">
        <v>122412.86000000002</v>
      </c>
      <c r="H563" s="18">
        <v>1294.3399999999999</v>
      </c>
      <c r="I563" s="18">
        <v>992.43000000000006</v>
      </c>
      <c r="J563" s="18">
        <v>0</v>
      </c>
      <c r="K563" s="18">
        <v>0</v>
      </c>
      <c r="L563" s="88">
        <f>SUM(F563:K563)</f>
        <v>454446.62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1586396.24</v>
      </c>
      <c r="G564" s="89">
        <f t="shared" si="44"/>
        <v>588922.17324556073</v>
      </c>
      <c r="H564" s="89">
        <f t="shared" si="44"/>
        <v>6068.17</v>
      </c>
      <c r="I564" s="89">
        <f t="shared" si="44"/>
        <v>9500.76</v>
      </c>
      <c r="J564" s="89">
        <f t="shared" si="44"/>
        <v>0</v>
      </c>
      <c r="K564" s="89">
        <f t="shared" si="44"/>
        <v>0</v>
      </c>
      <c r="L564" s="89">
        <f t="shared" si="44"/>
        <v>2190887.3432455608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9177.52</v>
      </c>
      <c r="G566" s="18">
        <v>3406.9960191491991</v>
      </c>
      <c r="H566" s="18">
        <v>0</v>
      </c>
      <c r="I566" s="18">
        <v>448.52</v>
      </c>
      <c r="J566" s="18">
        <v>0</v>
      </c>
      <c r="K566" s="18">
        <v>0</v>
      </c>
      <c r="L566" s="88">
        <f>SUM(F566:K566)</f>
        <v>13033.0360191492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9177.52</v>
      </c>
      <c r="G569" s="193">
        <f t="shared" ref="G569:L569" si="45">SUM(G566:G568)</f>
        <v>3406.9960191491991</v>
      </c>
      <c r="H569" s="193">
        <f t="shared" si="45"/>
        <v>0</v>
      </c>
      <c r="I569" s="193">
        <f t="shared" si="45"/>
        <v>448.52</v>
      </c>
      <c r="J569" s="193">
        <f t="shared" si="45"/>
        <v>0</v>
      </c>
      <c r="K569" s="193">
        <f t="shared" si="45"/>
        <v>0</v>
      </c>
      <c r="L569" s="193">
        <f t="shared" si="45"/>
        <v>13033.0360191492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1595573.76</v>
      </c>
      <c r="G570" s="89">
        <f t="shared" ref="G570:L570" si="46">G559+G564+G569</f>
        <v>592329.16926470993</v>
      </c>
      <c r="H570" s="89">
        <f t="shared" si="46"/>
        <v>6068.17</v>
      </c>
      <c r="I570" s="89">
        <f t="shared" si="46"/>
        <v>9949.2800000000007</v>
      </c>
      <c r="J570" s="89">
        <f t="shared" si="46"/>
        <v>0</v>
      </c>
      <c r="K570" s="89">
        <f t="shared" si="46"/>
        <v>0</v>
      </c>
      <c r="L570" s="89">
        <f t="shared" si="46"/>
        <v>2203920.37926471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16004.34</v>
      </c>
      <c r="G578" s="18">
        <v>66689.7</v>
      </c>
      <c r="H578" s="18">
        <v>63189.539999999994</v>
      </c>
      <c r="I578" s="87">
        <f t="shared" si="47"/>
        <v>145883.57999999999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106248</v>
      </c>
      <c r="H579" s="18">
        <v>270280.59999999998</v>
      </c>
      <c r="I579" s="87">
        <f t="shared" si="47"/>
        <v>376528.6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330337.72999999992</v>
      </c>
      <c r="G581" s="18">
        <v>805784.43</v>
      </c>
      <c r="H581" s="18">
        <v>2171293.3899999987</v>
      </c>
      <c r="I581" s="87">
        <f t="shared" si="47"/>
        <v>3307415.5499999989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58028.08</v>
      </c>
      <c r="G582" s="18">
        <v>0</v>
      </c>
      <c r="H582" s="18">
        <v>225322.90000000002</v>
      </c>
      <c r="I582" s="87">
        <f t="shared" si="47"/>
        <v>283350.98000000004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932985.89</v>
      </c>
      <c r="I590" s="18">
        <v>571773.47</v>
      </c>
      <c r="J590" s="18">
        <v>655934.82999999996</v>
      </c>
      <c r="K590" s="104">
        <f t="shared" ref="K590:K596" si="48">SUM(H590:J590)</f>
        <v>2160694.19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1552352.43</v>
      </c>
      <c r="I591" s="18">
        <v>485212.01</v>
      </c>
      <c r="J591" s="18">
        <v>679188.15</v>
      </c>
      <c r="K591" s="104">
        <f t="shared" si="48"/>
        <v>2716752.59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19060</v>
      </c>
      <c r="K592" s="104">
        <f t="shared" si="48"/>
        <v>19060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30560.709999999995</v>
      </c>
      <c r="J593" s="18">
        <v>107890.78000000001</v>
      </c>
      <c r="K593" s="104">
        <f t="shared" si="48"/>
        <v>138451.49000000002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9903.85</v>
      </c>
      <c r="K594" s="104">
        <f t="shared" si="48"/>
        <v>9903.85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2485338.3199999998</v>
      </c>
      <c r="I597" s="108">
        <f>SUM(I590:I596)</f>
        <v>1087546.19</v>
      </c>
      <c r="J597" s="108">
        <f>SUM(J590:J596)</f>
        <v>1471977.61</v>
      </c>
      <c r="K597" s="108">
        <f>SUM(K590:K596)</f>
        <v>5044862.1199999992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646920.77999999991</v>
      </c>
      <c r="I603" s="18">
        <v>406732.25</v>
      </c>
      <c r="J603" s="18">
        <v>1050305.06</v>
      </c>
      <c r="K603" s="104">
        <f>SUM(H603:J603)</f>
        <v>2103958.09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646920.77999999991</v>
      </c>
      <c r="I604" s="108">
        <f>SUM(I601:I603)</f>
        <v>406732.25</v>
      </c>
      <c r="J604" s="108">
        <f>SUM(J601:J603)</f>
        <v>1050305.06</v>
      </c>
      <c r="K604" s="108">
        <f>SUM(K601:K603)</f>
        <v>2103958.09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42222.09</v>
      </c>
      <c r="G610" s="18">
        <v>6999.72</v>
      </c>
      <c r="H610" s="18">
        <v>2958.1</v>
      </c>
      <c r="I610" s="18">
        <v>7306.45</v>
      </c>
      <c r="J610" s="18">
        <v>0</v>
      </c>
      <c r="K610" s="18">
        <v>0</v>
      </c>
      <c r="L610" s="88">
        <f>SUM(F610:K610)</f>
        <v>59486.359999999993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9172.77</v>
      </c>
      <c r="G611" s="18">
        <v>1520.69</v>
      </c>
      <c r="H611" s="18">
        <v>642.65</v>
      </c>
      <c r="I611" s="18">
        <v>1587.33</v>
      </c>
      <c r="J611" s="18">
        <v>0</v>
      </c>
      <c r="K611" s="18">
        <v>0</v>
      </c>
      <c r="L611" s="88">
        <f>SUM(F611:K611)</f>
        <v>12923.44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40951.629999999997</v>
      </c>
      <c r="G612" s="18">
        <v>6789.1</v>
      </c>
      <c r="H612" s="18">
        <v>2869.09</v>
      </c>
      <c r="I612" s="18">
        <v>7086.6</v>
      </c>
      <c r="J612" s="18">
        <v>0</v>
      </c>
      <c r="K612" s="18">
        <v>0</v>
      </c>
      <c r="L612" s="88">
        <f>SUM(F612:K612)</f>
        <v>57696.419999999991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92346.489999999991</v>
      </c>
      <c r="G613" s="108">
        <f t="shared" si="49"/>
        <v>15309.51</v>
      </c>
      <c r="H613" s="108">
        <f t="shared" si="49"/>
        <v>6469.84</v>
      </c>
      <c r="I613" s="108">
        <f t="shared" si="49"/>
        <v>15980.38</v>
      </c>
      <c r="J613" s="108">
        <f t="shared" si="49"/>
        <v>0</v>
      </c>
      <c r="K613" s="108">
        <f t="shared" si="49"/>
        <v>0</v>
      </c>
      <c r="L613" s="89">
        <f t="shared" si="49"/>
        <v>130106.21999999997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0</v>
      </c>
      <c r="H616" s="109">
        <f>SUM(F51)</f>
        <v>0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512078.5</v>
      </c>
      <c r="H617" s="109">
        <f>SUM(G51)</f>
        <v>512078.5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1984520.95</v>
      </c>
      <c r="H618" s="109">
        <f>SUM(H51)</f>
        <v>1984520.9500000002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1984087.07</v>
      </c>
      <c r="H619" s="109">
        <f>SUM(I51)</f>
        <v>1984087.07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9485071.6999999993</v>
      </c>
      <c r="H620" s="109">
        <f>SUM(J51)</f>
        <v>9485071.7000000011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371097.31</v>
      </c>
      <c r="H622" s="109">
        <f>G475</f>
        <v>371097.30999999959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1840307.7200000002</v>
      </c>
      <c r="H623" s="109">
        <f>H475</f>
        <v>1840307.7199999988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1984087.07</v>
      </c>
      <c r="H624" s="109">
        <f>I475</f>
        <v>1984087.0700000003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9485071.7000000011</v>
      </c>
      <c r="H625" s="109">
        <f>J475</f>
        <v>9485071.7000000011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138488994.16999999</v>
      </c>
      <c r="H626" s="104">
        <f>SUM(F467)</f>
        <v>138488994.16999999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4977438.7</v>
      </c>
      <c r="H627" s="104">
        <f>SUM(G467)</f>
        <v>4977438.6999999993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10578758.700000001</v>
      </c>
      <c r="H628" s="104">
        <f>SUM(H467)</f>
        <v>10578758.699999999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3916176</v>
      </c>
      <c r="H629" s="104">
        <f>SUM(I467)</f>
        <v>3916176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911611.39000000013</v>
      </c>
      <c r="H630" s="104">
        <f>SUM(J467)</f>
        <v>911611.39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138488994.17000002</v>
      </c>
      <c r="H631" s="104">
        <f>SUM(F471)</f>
        <v>138488994.16999999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10622851.249999998</v>
      </c>
      <c r="H632" s="104">
        <f>SUM(H471)</f>
        <v>10622851.25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2398209.9300000002</v>
      </c>
      <c r="H633" s="104">
        <f>I368</f>
        <v>2398209.9300000002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4990893.68</v>
      </c>
      <c r="H634" s="104">
        <f>SUM(G471)</f>
        <v>4990893.68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3478059.13</v>
      </c>
      <c r="H635" s="104">
        <f>SUM(I471)</f>
        <v>3478059.13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911611.39</v>
      </c>
      <c r="H636" s="164">
        <f>SUM(J467)</f>
        <v>911611.39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2223206.15</v>
      </c>
      <c r="H637" s="164">
        <f>SUM(J471)</f>
        <v>2223206.15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3190906.04</v>
      </c>
      <c r="H638" s="104">
        <f>SUM(F460)</f>
        <v>3190906.0400000005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1350965.2700000003</v>
      </c>
      <c r="H639" s="104">
        <f>SUM(G460)</f>
        <v>1350965.27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4943200.3899999997</v>
      </c>
      <c r="H640" s="104">
        <f>SUM(H460)</f>
        <v>4943200.3900000006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9485071.6999999993</v>
      </c>
      <c r="H641" s="104">
        <f>SUM(I460)</f>
        <v>9485071.7000000011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478764.84</v>
      </c>
      <c r="H643" s="104">
        <f>H407</f>
        <v>478764.84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158283</v>
      </c>
      <c r="H644" s="104">
        <f>G407</f>
        <v>158283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911611.39000000013</v>
      </c>
      <c r="H645" s="104">
        <f>L407</f>
        <v>911611.39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5044862.1199999992</v>
      </c>
      <c r="H646" s="104">
        <f>L207+L225+L243</f>
        <v>5044862.12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2103958.09</v>
      </c>
      <c r="H647" s="104">
        <f>(J256+J337)-(J254+J335)</f>
        <v>2103958.09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2485338.3200000003</v>
      </c>
      <c r="H648" s="104">
        <f>H597</f>
        <v>2485338.3199999998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1087546.19</v>
      </c>
      <c r="H649" s="104">
        <f>I597</f>
        <v>1087546.19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1471977.6099999999</v>
      </c>
      <c r="H650" s="104">
        <f>J597</f>
        <v>1471977.61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158283</v>
      </c>
      <c r="H654" s="104">
        <f>K265+K346</f>
        <v>158283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63477314.890000015</v>
      </c>
      <c r="G659" s="19">
        <f>(L228+L308+L358)</f>
        <v>31085713.640000001</v>
      </c>
      <c r="H659" s="19">
        <f>(L246+L327+L359)</f>
        <v>45727176.060000002</v>
      </c>
      <c r="I659" s="19">
        <f>SUM(F659:H659)</f>
        <v>140290204.59000003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894425.84697650105</v>
      </c>
      <c r="G660" s="19">
        <f>(L358/IF(SUM(L357:L359)=0,1,SUM(L357:L359))*(SUM(G96:G109)))</f>
        <v>498841.4417595698</v>
      </c>
      <c r="H660" s="19">
        <f>(L359/IF(SUM(L357:L359)=0,1,SUM(L357:L359))*(SUM(G96:G109)))</f>
        <v>657010.92126392911</v>
      </c>
      <c r="I660" s="19">
        <f>SUM(F660:H660)</f>
        <v>2050278.21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2504717.16</v>
      </c>
      <c r="G661" s="19">
        <f>(L225+L305)-(J225+J305)</f>
        <v>1093603.3499999999</v>
      </c>
      <c r="H661" s="19">
        <f>(L243+L324)-(J243+J324)</f>
        <v>1490360.13</v>
      </c>
      <c r="I661" s="19">
        <f>SUM(F661:H661)</f>
        <v>5088680.6399999997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1110777.29</v>
      </c>
      <c r="G662" s="199">
        <f>SUM(G574:G586)+SUM(I601:I603)+L611</f>
        <v>1398377.82</v>
      </c>
      <c r="H662" s="199">
        <f>SUM(H574:H586)+SUM(J601:J603)+L612</f>
        <v>3838087.9099999988</v>
      </c>
      <c r="I662" s="19">
        <f>SUM(F662:H662)</f>
        <v>6347243.0199999996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58967394.593023516</v>
      </c>
      <c r="G663" s="19">
        <f>G659-SUM(G660:G662)</f>
        <v>28094891.028240431</v>
      </c>
      <c r="H663" s="19">
        <f>H659-SUM(H660:H662)</f>
        <v>39741717.098736078</v>
      </c>
      <c r="I663" s="19">
        <f>I659-SUM(I660:I662)</f>
        <v>126804002.72000003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5277.61</v>
      </c>
      <c r="G664" s="248">
        <v>2487.5</v>
      </c>
      <c r="H664" s="248">
        <v>3508.9</v>
      </c>
      <c r="I664" s="19">
        <f>SUM(F664:H664)</f>
        <v>11274.01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11173.12</v>
      </c>
      <c r="G666" s="19">
        <f>ROUND(G663/G664,2)</f>
        <v>11294.43</v>
      </c>
      <c r="H666" s="19">
        <f>ROUND(H663/H664,2)</f>
        <v>11325.98</v>
      </c>
      <c r="I666" s="19">
        <f>ROUND(I663/I664,2)</f>
        <v>11247.46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22.53</v>
      </c>
      <c r="I669" s="19">
        <f>SUM(F669:H669)</f>
        <v>22.53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11173.12</v>
      </c>
      <c r="G671" s="19">
        <f>ROUND((G663+G668)/(G664+G669),2)</f>
        <v>11294.43</v>
      </c>
      <c r="H671" s="19">
        <f>ROUND((H663+H668)/(H664+H669),2)</f>
        <v>11253.72</v>
      </c>
      <c r="I671" s="19">
        <f>ROUND((I663+I668)/(I664+I669),2)</f>
        <v>11225.03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Nashua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37246315.899999999</v>
      </c>
      <c r="C9" s="229">
        <f>'DOE25'!G196+'DOE25'!G214+'DOE25'!G232+'DOE25'!G275+'DOE25'!G294+'DOE25'!G313</f>
        <v>13474601.110000001</v>
      </c>
    </row>
    <row r="10" spans="1:3" x14ac:dyDescent="0.2">
      <c r="A10" t="s">
        <v>779</v>
      </c>
      <c r="B10" s="240">
        <v>33454839.539999999</v>
      </c>
      <c r="C10" s="240">
        <v>12102958.560000001</v>
      </c>
    </row>
    <row r="11" spans="1:3" x14ac:dyDescent="0.2">
      <c r="A11" t="s">
        <v>780</v>
      </c>
      <c r="B11" s="240">
        <v>739974.19</v>
      </c>
      <c r="C11" s="240">
        <v>267700.49</v>
      </c>
    </row>
    <row r="12" spans="1:3" x14ac:dyDescent="0.2">
      <c r="A12" t="s">
        <v>781</v>
      </c>
      <c r="B12" s="240">
        <v>3051502.17</v>
      </c>
      <c r="C12" s="240">
        <v>1103942.06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37246315.899999999</v>
      </c>
      <c r="C13" s="231">
        <f>SUM(C10:C12)</f>
        <v>13474601.110000001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16966741.009999998</v>
      </c>
      <c r="C18" s="229">
        <f>'DOE25'!G197+'DOE25'!G215+'DOE25'!G233+'DOE25'!G276+'DOE25'!G295+'DOE25'!G314</f>
        <v>5778496.8300000001</v>
      </c>
    </row>
    <row r="19" spans="1:3" x14ac:dyDescent="0.2">
      <c r="A19" t="s">
        <v>779</v>
      </c>
      <c r="B19" s="240">
        <v>9624806.75</v>
      </c>
      <c r="C19" s="240">
        <v>3277996.36</v>
      </c>
    </row>
    <row r="20" spans="1:3" x14ac:dyDescent="0.2">
      <c r="A20" t="s">
        <v>780</v>
      </c>
      <c r="B20" s="240">
        <v>6132193.4800000004</v>
      </c>
      <c r="C20" s="240">
        <v>2088489.51</v>
      </c>
    </row>
    <row r="21" spans="1:3" x14ac:dyDescent="0.2">
      <c r="A21" t="s">
        <v>781</v>
      </c>
      <c r="B21" s="240">
        <v>1209740.78</v>
      </c>
      <c r="C21" s="240">
        <v>412010.96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16966741.010000002</v>
      </c>
      <c r="C22" s="231">
        <f>SUM(C19:C21)</f>
        <v>5778496.8300000001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3307349.3500000006</v>
      </c>
      <c r="C27" s="234">
        <f>'DOE25'!G198+'DOE25'!G216+'DOE25'!G234+'DOE25'!G277+'DOE25'!G296+'DOE25'!G315</f>
        <v>1231154.0399999998</v>
      </c>
    </row>
    <row r="28" spans="1:3" x14ac:dyDescent="0.2">
      <c r="A28" t="s">
        <v>779</v>
      </c>
      <c r="B28" s="240">
        <v>2903241.04</v>
      </c>
      <c r="C28" s="240">
        <v>1080725.55</v>
      </c>
    </row>
    <row r="29" spans="1:3" x14ac:dyDescent="0.2">
      <c r="A29" t="s">
        <v>780</v>
      </c>
      <c r="B29" s="240">
        <v>41554.480000000003</v>
      </c>
      <c r="C29" s="240">
        <v>15468.57</v>
      </c>
    </row>
    <row r="30" spans="1:3" x14ac:dyDescent="0.2">
      <c r="A30" t="s">
        <v>781</v>
      </c>
      <c r="B30" s="240">
        <v>362553.83</v>
      </c>
      <c r="C30" s="240">
        <v>134959.92000000001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3307349.35</v>
      </c>
      <c r="C31" s="231">
        <f>SUM(C28:C30)</f>
        <v>1231154.04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1271491.8299999998</v>
      </c>
      <c r="C36" s="235">
        <f>'DOE25'!G199+'DOE25'!G217+'DOE25'!G235+'DOE25'!G278+'DOE25'!G297+'DOE25'!G316</f>
        <v>319501.56</v>
      </c>
    </row>
    <row r="37" spans="1:3" x14ac:dyDescent="0.2">
      <c r="A37" t="s">
        <v>779</v>
      </c>
      <c r="B37" s="240">
        <v>338847.85</v>
      </c>
      <c r="C37" s="240">
        <v>85145.98</v>
      </c>
    </row>
    <row r="38" spans="1:3" x14ac:dyDescent="0.2">
      <c r="A38" t="s">
        <v>780</v>
      </c>
      <c r="B38" s="240">
        <v>75335.83</v>
      </c>
      <c r="C38" s="240">
        <v>18930.45</v>
      </c>
    </row>
    <row r="39" spans="1:3" x14ac:dyDescent="0.2">
      <c r="A39" t="s">
        <v>781</v>
      </c>
      <c r="B39" s="240">
        <v>857308.15</v>
      </c>
      <c r="C39" s="240">
        <v>215425.13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1271491.83</v>
      </c>
      <c r="C40" s="231">
        <f>SUM(C37:C39)</f>
        <v>319501.56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Nashua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79636373.140000001</v>
      </c>
      <c r="D5" s="20">
        <f>SUM('DOE25'!L196:L199)+SUM('DOE25'!L214:L217)+SUM('DOE25'!L232:L235)-F5-G5</f>
        <v>79445595.790000007</v>
      </c>
      <c r="E5" s="243"/>
      <c r="F5" s="255">
        <f>SUM('DOE25'!J196:J199)+SUM('DOE25'!J214:J217)+SUM('DOE25'!J232:J235)</f>
        <v>190777.35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11130360.140000001</v>
      </c>
      <c r="D6" s="20">
        <f>'DOE25'!L201+'DOE25'!L219+'DOE25'!L237-F6-G6</f>
        <v>11123664.370000001</v>
      </c>
      <c r="E6" s="243"/>
      <c r="F6" s="255">
        <f>'DOE25'!J201+'DOE25'!J219+'DOE25'!J237</f>
        <v>6695.77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5135862.34</v>
      </c>
      <c r="D7" s="20">
        <f>'DOE25'!L202+'DOE25'!L220+'DOE25'!L238-F7-G7</f>
        <v>3862879.15</v>
      </c>
      <c r="E7" s="243"/>
      <c r="F7" s="255">
        <f>'DOE25'!J202+'DOE25'!J220+'DOE25'!J238</f>
        <v>1272983.19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2361815.1</v>
      </c>
      <c r="D8" s="243"/>
      <c r="E8" s="20">
        <f>'DOE25'!L203+'DOE25'!L221+'DOE25'!L239-F8-G8-D9-D11</f>
        <v>2261988.3000000003</v>
      </c>
      <c r="F8" s="255">
        <f>'DOE25'!J203+'DOE25'!J221+'DOE25'!J239</f>
        <v>18540.82</v>
      </c>
      <c r="G8" s="53">
        <f>'DOE25'!K203+'DOE25'!K221+'DOE25'!K239</f>
        <v>81285.98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92002.27</v>
      </c>
      <c r="D9" s="244">
        <v>92002.27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34375</v>
      </c>
      <c r="D10" s="243"/>
      <c r="E10" s="244">
        <v>34375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490777.1</v>
      </c>
      <c r="D11" s="244">
        <v>490777.1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6650867.0200000005</v>
      </c>
      <c r="D12" s="20">
        <f>'DOE25'!L204+'DOE25'!L222+'DOE25'!L240-F12-G12</f>
        <v>6650917.0200000005</v>
      </c>
      <c r="E12" s="243"/>
      <c r="F12" s="255">
        <f>'DOE25'!J204+'DOE25'!J222+'DOE25'!J240</f>
        <v>-50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944262.41999999993</v>
      </c>
      <c r="D13" s="243"/>
      <c r="E13" s="20">
        <f>'DOE25'!L205+'DOE25'!L223+'DOE25'!L241-F13-G13</f>
        <v>944262.41999999993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12850908.720000001</v>
      </c>
      <c r="D14" s="20">
        <f>'DOE25'!L206+'DOE25'!L224+'DOE25'!L242-F14-G14</f>
        <v>12907433.84</v>
      </c>
      <c r="E14" s="243"/>
      <c r="F14" s="255">
        <f>'DOE25'!J206+'DOE25'!J224+'DOE25'!J242</f>
        <v>28283.08</v>
      </c>
      <c r="G14" s="53">
        <f>'DOE25'!K206+'DOE25'!K224+'DOE25'!K242</f>
        <v>-84808.2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5044862.12</v>
      </c>
      <c r="D15" s="20">
        <f>'DOE25'!L207+'DOE25'!L225+'DOE25'!L243-F15-G15</f>
        <v>5044862.12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523732.79000000004</v>
      </c>
      <c r="D16" s="243"/>
      <c r="E16" s="20">
        <f>'DOE25'!L208+'DOE25'!L226+'DOE25'!L244-F16-G16</f>
        <v>523732.79000000004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191202.64</v>
      </c>
      <c r="D17" s="20">
        <f>'DOE25'!L250-F17-G17</f>
        <v>191202.64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186907.99</v>
      </c>
      <c r="D22" s="243"/>
      <c r="E22" s="243"/>
      <c r="F22" s="255">
        <f>'DOE25'!L254+'DOE25'!L335</f>
        <v>186907.99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13090777.379999999</v>
      </c>
      <c r="D25" s="243"/>
      <c r="E25" s="243"/>
      <c r="F25" s="258"/>
      <c r="G25" s="256"/>
      <c r="H25" s="257">
        <f>'DOE25'!L259+'DOE25'!L260+'DOE25'!L340+'DOE25'!L341</f>
        <v>13090777.379999999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2855845.4299999997</v>
      </c>
      <c r="D29" s="20">
        <f>'DOE25'!L357+'DOE25'!L358+'DOE25'!L359-'DOE25'!I366-F29-G29</f>
        <v>2819284.5599999996</v>
      </c>
      <c r="E29" s="243"/>
      <c r="F29" s="255">
        <f>'DOE25'!J357+'DOE25'!J358+'DOE25'!J359</f>
        <v>36560.870000000003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10606640.869999997</v>
      </c>
      <c r="D31" s="20">
        <f>'DOE25'!L289+'DOE25'!L308+'DOE25'!L327+'DOE25'!L332+'DOE25'!L333+'DOE25'!L334-F31-G31</f>
        <v>9736965.7499999963</v>
      </c>
      <c r="E31" s="243"/>
      <c r="F31" s="255">
        <f>'DOE25'!J289+'DOE25'!J308+'DOE25'!J327+'DOE25'!J332+'DOE25'!J333+'DOE25'!J334</f>
        <v>586727.88</v>
      </c>
      <c r="G31" s="53">
        <f>'DOE25'!K289+'DOE25'!K308+'DOE25'!K327+'DOE25'!K332+'DOE25'!K333+'DOE25'!K334</f>
        <v>282947.24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132365584.61000001</v>
      </c>
      <c r="E33" s="246">
        <f>SUM(E5:E31)</f>
        <v>3764358.5100000002</v>
      </c>
      <c r="F33" s="246">
        <f>SUM(F5:F31)</f>
        <v>2327426.9500000002</v>
      </c>
      <c r="G33" s="246">
        <f>SUM(G5:G31)</f>
        <v>279425.02</v>
      </c>
      <c r="H33" s="246">
        <f>SUM(H5:H31)</f>
        <v>13090777.379999999</v>
      </c>
    </row>
    <row r="35" spans="2:8" ht="12" thickBot="1" x14ac:dyDescent="0.25">
      <c r="B35" s="253" t="s">
        <v>847</v>
      </c>
      <c r="D35" s="254">
        <f>E33</f>
        <v>3764358.5100000002</v>
      </c>
      <c r="E35" s="249"/>
    </row>
    <row r="36" spans="2:8" ht="12" thickTop="1" x14ac:dyDescent="0.2">
      <c r="B36" t="s">
        <v>815</v>
      </c>
      <c r="D36" s="20">
        <f>D33</f>
        <v>132365584.61000001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Nashua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4447967.57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4853589.84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485656.16000000003</v>
      </c>
      <c r="F11" s="95">
        <f>'DOE25'!I12</f>
        <v>1984087.07</v>
      </c>
      <c r="G11" s="95">
        <f>'DOE25'!J12</f>
        <v>183514.29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512078.5</v>
      </c>
      <c r="E12" s="95">
        <f>'DOE25'!H13</f>
        <v>1474912.11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23952.68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512078.5</v>
      </c>
      <c r="E18" s="41">
        <f>SUM(E8:E17)</f>
        <v>1984520.95</v>
      </c>
      <c r="F18" s="41">
        <f>SUM(F8:F17)</f>
        <v>1984087.07</v>
      </c>
      <c r="G18" s="41">
        <f>SUM(G8:G17)</f>
        <v>9485071.6999999993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140981.19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144213.23000000001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140981.19</v>
      </c>
      <c r="E31" s="41">
        <f>SUM(E21:E30)</f>
        <v>144213.23000000001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4418556.57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524643.82000000007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371071.21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687864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1632591.11</v>
      </c>
      <c r="F46" s="95">
        <f>'DOE25'!I47</f>
        <v>1296223.07</v>
      </c>
      <c r="G46" s="95">
        <f>'DOE25'!J47</f>
        <v>4541871.3100000005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26.1</v>
      </c>
      <c r="E47" s="95">
        <f>'DOE25'!H48</f>
        <v>207716.61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0</v>
      </c>
      <c r="D49" s="41">
        <f>SUM(D34:D48)</f>
        <v>371097.31</v>
      </c>
      <c r="E49" s="41">
        <f>SUM(E34:E48)</f>
        <v>1840307.7200000002</v>
      </c>
      <c r="F49" s="41">
        <f>SUM(F34:F48)</f>
        <v>1984087.07</v>
      </c>
      <c r="G49" s="41">
        <f>SUM(G34:G48)</f>
        <v>9485071.7000000011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0</v>
      </c>
      <c r="D50" s="41">
        <f>D49+D31</f>
        <v>512078.5</v>
      </c>
      <c r="E50" s="41">
        <f>E49+E31</f>
        <v>1984520.9500000002</v>
      </c>
      <c r="F50" s="41">
        <f>F49+F31</f>
        <v>1984087.07</v>
      </c>
      <c r="G50" s="41">
        <f>G49+G31</f>
        <v>9485071.7000000011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77577165.329999998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80160.609999999986</v>
      </c>
      <c r="D56" s="24" t="s">
        <v>289</v>
      </c>
      <c r="E56" s="95">
        <f>'DOE25'!H78</f>
        <v>910443.97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78616.75</v>
      </c>
      <c r="D57" s="24" t="s">
        <v>289</v>
      </c>
      <c r="E57" s="95">
        <f>'DOE25'!H93</f>
        <v>9511.75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134.36000000000001</v>
      </c>
      <c r="E58" s="95">
        <f>'DOE25'!H95</f>
        <v>0</v>
      </c>
      <c r="F58" s="95">
        <f>'DOE25'!I95</f>
        <v>0</v>
      </c>
      <c r="G58" s="95">
        <f>'DOE25'!J95</f>
        <v>478764.84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2050278.21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31922.5</v>
      </c>
      <c r="D60" s="95">
        <f>SUM('DOE25'!G97:G109)</f>
        <v>0</v>
      </c>
      <c r="E60" s="95">
        <f>SUM('DOE25'!H97:H109)</f>
        <v>368299.32</v>
      </c>
      <c r="F60" s="95">
        <f>SUM('DOE25'!I97:I109)</f>
        <v>128756</v>
      </c>
      <c r="G60" s="95">
        <f>SUM('DOE25'!J97:J109)</f>
        <v>274563.55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190699.86</v>
      </c>
      <c r="D61" s="130">
        <f>SUM(D56:D60)</f>
        <v>2050412.57</v>
      </c>
      <c r="E61" s="130">
        <f>SUM(E56:E60)</f>
        <v>1288255.04</v>
      </c>
      <c r="F61" s="130">
        <f>SUM(F56:F60)</f>
        <v>128756</v>
      </c>
      <c r="G61" s="130">
        <f>SUM(G56:G60)</f>
        <v>753328.39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77767865.189999998</v>
      </c>
      <c r="D62" s="22">
        <f>D55+D61</f>
        <v>2050412.57</v>
      </c>
      <c r="E62" s="22">
        <f>E55+E61</f>
        <v>1288255.04</v>
      </c>
      <c r="F62" s="22">
        <f>F55+F61</f>
        <v>128756</v>
      </c>
      <c r="G62" s="22">
        <f>G55+G61</f>
        <v>753328.39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35998972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19979357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55978329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2641794.8199999998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559026.43999999994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162862.15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77603.3</v>
      </c>
      <c r="E76" s="95">
        <f>SUM('DOE25'!H130:H134)</f>
        <v>72439.95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3363683.4099999997</v>
      </c>
      <c r="D77" s="130">
        <f>SUM(D71:D76)</f>
        <v>77603.3</v>
      </c>
      <c r="E77" s="130">
        <f>SUM(E71:E76)</f>
        <v>72439.95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59342012.409999996</v>
      </c>
      <c r="D80" s="130">
        <f>SUM(D78:D79)+D77+D69</f>
        <v>77603.3</v>
      </c>
      <c r="E80" s="130">
        <f>SUM(E78:E79)+E77+E69</f>
        <v>72439.95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411641.98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1304116.57</v>
      </c>
      <c r="D87" s="95">
        <f>SUM('DOE25'!G152:G160)</f>
        <v>2849422.83</v>
      </c>
      <c r="E87" s="95">
        <f>SUM('DOE25'!H152:H160)</f>
        <v>8806421.7300000004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1304116.57</v>
      </c>
      <c r="D90" s="131">
        <f>SUM(D84:D89)</f>
        <v>2849422.83</v>
      </c>
      <c r="E90" s="131">
        <f>SUM(E84:E89)</f>
        <v>9218063.7100000009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2000000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158283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1787420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75000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75000</v>
      </c>
      <c r="D102" s="86">
        <f>SUM(D92:D101)</f>
        <v>0</v>
      </c>
      <c r="E102" s="86">
        <f>SUM(E92:E101)</f>
        <v>0</v>
      </c>
      <c r="F102" s="86">
        <f>SUM(F92:F101)</f>
        <v>3787420</v>
      </c>
      <c r="G102" s="86">
        <f>SUM(G92:G101)</f>
        <v>158283</v>
      </c>
    </row>
    <row r="103" spans="1:7" ht="12.75" thickTop="1" thickBot="1" x14ac:dyDescent="0.25">
      <c r="A103" s="33" t="s">
        <v>765</v>
      </c>
      <c r="C103" s="86">
        <f>C62+C80+C90+C102</f>
        <v>138488994.16999999</v>
      </c>
      <c r="D103" s="86">
        <f>D62+D80+D90+D102</f>
        <v>4977438.7</v>
      </c>
      <c r="E103" s="86">
        <f>E62+E80+E90+E102</f>
        <v>10578758.700000001</v>
      </c>
      <c r="F103" s="86">
        <f>F62+F80+F90+F102</f>
        <v>3916176</v>
      </c>
      <c r="G103" s="86">
        <f>G62+G80+G102</f>
        <v>911611.39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51834635.529999994</v>
      </c>
      <c r="D108" s="24" t="s">
        <v>289</v>
      </c>
      <c r="E108" s="95">
        <f>('DOE25'!L275)+('DOE25'!L294)+('DOE25'!L313)</f>
        <v>334515.72000000009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22064308.68</v>
      </c>
      <c r="D109" s="24" t="s">
        <v>289</v>
      </c>
      <c r="E109" s="95">
        <f>('DOE25'!L276)+('DOE25'!L295)+('DOE25'!L314)</f>
        <v>6613926.1899999995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4700958.7799999993</v>
      </c>
      <c r="D110" s="24" t="s">
        <v>289</v>
      </c>
      <c r="E110" s="95">
        <f>('DOE25'!L277)+('DOE25'!L296)+('DOE25'!L315)</f>
        <v>249180.22000000003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1036470.1500000001</v>
      </c>
      <c r="D111" s="24" t="s">
        <v>289</v>
      </c>
      <c r="E111" s="95">
        <f>+('DOE25'!L278)+('DOE25'!L297)+('DOE25'!L316)</f>
        <v>1171633.75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16210.38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191202.64</v>
      </c>
      <c r="D113" s="24" t="s">
        <v>289</v>
      </c>
      <c r="E113" s="95">
        <f>+ SUM('DOE25'!L332:L334)</f>
        <v>169153.12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79827575.780000001</v>
      </c>
      <c r="D114" s="86">
        <f>SUM(D108:D113)</f>
        <v>0</v>
      </c>
      <c r="E114" s="86">
        <f>SUM(E108:E113)</f>
        <v>8554619.379999999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11130360.140000001</v>
      </c>
      <c r="D117" s="24" t="s">
        <v>289</v>
      </c>
      <c r="E117" s="95">
        <f>+('DOE25'!L280)+('DOE25'!L299)+('DOE25'!L318)</f>
        <v>302176.81999999995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5135862.34</v>
      </c>
      <c r="D118" s="24" t="s">
        <v>289</v>
      </c>
      <c r="E118" s="95">
        <f>+('DOE25'!L281)+('DOE25'!L300)+('DOE25'!L319)</f>
        <v>1359220.1099999999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2944594.47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6650867.0200000005</v>
      </c>
      <c r="D120" s="24" t="s">
        <v>289</v>
      </c>
      <c r="E120" s="95">
        <f>+('DOE25'!L283)+('DOE25'!L302)+('DOE25'!L321)</f>
        <v>128340.14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944262.41999999993</v>
      </c>
      <c r="D121" s="24" t="s">
        <v>289</v>
      </c>
      <c r="E121" s="95">
        <f>+('DOE25'!L284)+('DOE25'!L303)+('DOE25'!L322)</f>
        <v>99864.42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12850908.720000001</v>
      </c>
      <c r="D122" s="24" t="s">
        <v>289</v>
      </c>
      <c r="E122" s="95">
        <f>+('DOE25'!L285)+('DOE25'!L304)+('DOE25'!L323)</f>
        <v>133532.31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5044862.12</v>
      </c>
      <c r="D123" s="24" t="s">
        <v>289</v>
      </c>
      <c r="E123" s="95">
        <f>+('DOE25'!L286)+('DOE25'!L305)+('DOE25'!L324)</f>
        <v>43818.520000000004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523732.79000000004</v>
      </c>
      <c r="D124" s="24" t="s">
        <v>289</v>
      </c>
      <c r="E124" s="95">
        <f>+('DOE25'!L287)+('DOE25'!L306)+('DOE25'!L325)</f>
        <v>1279.55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4990893.68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45225450.019999996</v>
      </c>
      <c r="D127" s="86">
        <f>SUM(D117:D126)</f>
        <v>4990893.68</v>
      </c>
      <c r="E127" s="86">
        <f>SUM(E117:E126)</f>
        <v>2068231.8699999996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186907.99</v>
      </c>
      <c r="D129" s="24" t="s">
        <v>289</v>
      </c>
      <c r="E129" s="129">
        <f>'DOE25'!L335</f>
        <v>0</v>
      </c>
      <c r="F129" s="129">
        <f>SUM('DOE25'!L373:'DOE25'!L379)</f>
        <v>3478059.13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9460734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3630043.38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1862420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166269.06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261153.08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484189.25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-753328.39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13435968.370000001</v>
      </c>
      <c r="D143" s="141">
        <f>SUM(D129:D142)</f>
        <v>0</v>
      </c>
      <c r="E143" s="141">
        <f>SUM(E129:E142)</f>
        <v>0</v>
      </c>
      <c r="F143" s="141">
        <f>SUM(F129:F142)</f>
        <v>3478059.13</v>
      </c>
      <c r="G143" s="141">
        <f>SUM(G129:G142)</f>
        <v>1862420</v>
      </c>
    </row>
    <row r="144" spans="1:7" ht="12.75" thickTop="1" thickBot="1" x14ac:dyDescent="0.25">
      <c r="A144" s="33" t="s">
        <v>244</v>
      </c>
      <c r="C144" s="86">
        <f>(C114+C127+C143)</f>
        <v>138488994.16999999</v>
      </c>
      <c r="D144" s="86">
        <f>(D114+D127+D143)</f>
        <v>4990893.68</v>
      </c>
      <c r="E144" s="86">
        <f>(E114+E127+E143)</f>
        <v>10622851.249999998</v>
      </c>
      <c r="F144" s="86">
        <f>(F114+F127+F143)</f>
        <v>3478059.13</v>
      </c>
      <c r="G144" s="86">
        <f>(G114+G127+G143)</f>
        <v>1862420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 t="str">
        <f>'DOE25'!F493</f>
        <v>*SEE SUPPLEMENTAL SCHEDULE*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86466472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86466472</v>
      </c>
    </row>
    <row r="156" spans="1:9" x14ac:dyDescent="0.2">
      <c r="A156" s="22" t="s">
        <v>33</v>
      </c>
      <c r="B156" s="137">
        <f>'DOE25'!F495</f>
        <v>1771700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1771700</v>
      </c>
    </row>
    <row r="157" spans="1:9" x14ac:dyDescent="0.2">
      <c r="A157" s="22" t="s">
        <v>34</v>
      </c>
      <c r="B157" s="137">
        <f>'DOE25'!F496</f>
        <v>9460735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9460735</v>
      </c>
    </row>
    <row r="158" spans="1:9" x14ac:dyDescent="0.2">
      <c r="A158" s="22" t="s">
        <v>35</v>
      </c>
      <c r="B158" s="137">
        <f>'DOE25'!F497</f>
        <v>78777437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78777437</v>
      </c>
    </row>
    <row r="159" spans="1:9" x14ac:dyDescent="0.2">
      <c r="A159" s="22" t="s">
        <v>36</v>
      </c>
      <c r="B159" s="137">
        <f>'DOE25'!F498</f>
        <v>17822867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17822867</v>
      </c>
    </row>
    <row r="160" spans="1:9" x14ac:dyDescent="0.2">
      <c r="A160" s="22" t="s">
        <v>37</v>
      </c>
      <c r="B160" s="137">
        <f>'DOE25'!F499</f>
        <v>96600304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96600304</v>
      </c>
    </row>
    <row r="161" spans="1:7" x14ac:dyDescent="0.2">
      <c r="A161" s="22" t="s">
        <v>38</v>
      </c>
      <c r="B161" s="137">
        <f>'DOE25'!F500</f>
        <v>9118907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9118907</v>
      </c>
    </row>
    <row r="162" spans="1:7" x14ac:dyDescent="0.2">
      <c r="A162" s="22" t="s">
        <v>39</v>
      </c>
      <c r="B162" s="137">
        <f>'DOE25'!F501</f>
        <v>3283054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3283054</v>
      </c>
    </row>
    <row r="163" spans="1:7" x14ac:dyDescent="0.2">
      <c r="A163" s="22" t="s">
        <v>246</v>
      </c>
      <c r="B163" s="137">
        <f>'DOE25'!F502</f>
        <v>12401961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12401961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Nashua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11173</v>
      </c>
    </row>
    <row r="5" spans="1:4" x14ac:dyDescent="0.2">
      <c r="B5" t="s">
        <v>704</v>
      </c>
      <c r="C5" s="179">
        <f>IF('DOE25'!G664+'DOE25'!G669=0,0,ROUND('DOE25'!G671,0))</f>
        <v>11294</v>
      </c>
    </row>
    <row r="6" spans="1:4" x14ac:dyDescent="0.2">
      <c r="B6" t="s">
        <v>62</v>
      </c>
      <c r="C6" s="179">
        <f>IF('DOE25'!H664+'DOE25'!H669=0,0,ROUND('DOE25'!H671,0))</f>
        <v>11254</v>
      </c>
    </row>
    <row r="7" spans="1:4" x14ac:dyDescent="0.2">
      <c r="B7" t="s">
        <v>705</v>
      </c>
      <c r="C7" s="179">
        <f>IF('DOE25'!I664+'DOE25'!I669=0,0,ROUND('DOE25'!I671,0))</f>
        <v>11225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52169151</v>
      </c>
      <c r="D10" s="182">
        <f>ROUND((C10/$C$28)*100,1)</f>
        <v>36.700000000000003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28678235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4950139</v>
      </c>
      <c r="D12" s="182">
        <f>ROUND((C12/$C$28)*100,1)</f>
        <v>3.5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2208104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11432537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6495082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3469607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6779207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1044127</v>
      </c>
      <c r="D19" s="182">
        <f t="shared" si="0"/>
        <v>0.7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12984441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5088681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16210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360356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ROUND('DOE25'!L260+'DOE25'!L341,0)</f>
        <v>3630043</v>
      </c>
      <c r="D25" s="182">
        <f t="shared" si="0"/>
        <v>2.6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2940615.79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142246535.78999999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3664967</v>
      </c>
    </row>
    <row r="30" spans="1:4" x14ac:dyDescent="0.2">
      <c r="B30" s="187" t="s">
        <v>729</v>
      </c>
      <c r="C30" s="180">
        <f>SUM(C28:C29)</f>
        <v>145911502.78999999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9460734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77577165</v>
      </c>
      <c r="D35" s="182">
        <f t="shared" ref="D35:D40" si="1">ROUND((C35/$C$41)*100,1)</f>
        <v>50.7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2589473.9800000042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55978329</v>
      </c>
      <c r="D37" s="182">
        <f t="shared" si="1"/>
        <v>36.6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3513727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13371603</v>
      </c>
      <c r="D39" s="182">
        <f t="shared" si="1"/>
        <v>8.6999999999999993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153030297.98000002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1771700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Nashua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2013-10-29T13:22:56Z</cp:lastPrinted>
  <dcterms:created xsi:type="dcterms:W3CDTF">1997-12-04T19:04:30Z</dcterms:created>
  <dcterms:modified xsi:type="dcterms:W3CDTF">2013-12-05T18:53:18Z</dcterms:modified>
</cp:coreProperties>
</file>