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7" i="1" l="1"/>
  <c r="J95" i="1"/>
  <c r="F275" i="1" l="1"/>
  <c r="G275" i="1"/>
  <c r="G610" i="1" l="1"/>
  <c r="H521" i="1" l="1"/>
  <c r="H525" i="1"/>
  <c r="J520" i="1"/>
  <c r="H520" i="1"/>
  <c r="I520" i="1"/>
  <c r="G520" i="1"/>
  <c r="F520" i="1"/>
  <c r="G357" i="1"/>
  <c r="K284" i="1"/>
  <c r="H282" i="1"/>
  <c r="I281" i="1"/>
  <c r="H281" i="1"/>
  <c r="J276" i="1"/>
  <c r="J275" i="1"/>
  <c r="I275" i="1"/>
  <c r="H275" i="1"/>
  <c r="H243" i="1"/>
  <c r="H225" i="1"/>
  <c r="K265" i="1"/>
  <c r="I202" i="1"/>
  <c r="I201" i="1"/>
  <c r="H207" i="1"/>
  <c r="H203" i="1"/>
  <c r="H202" i="1"/>
  <c r="H201" i="1"/>
  <c r="G203" i="1"/>
  <c r="G202" i="1"/>
  <c r="G199" i="1"/>
  <c r="F203" i="1"/>
  <c r="F199" i="1"/>
  <c r="H471" i="1" l="1"/>
  <c r="H467" i="1"/>
  <c r="F109" i="1"/>
  <c r="H28" i="1" l="1"/>
  <c r="H24" i="1"/>
  <c r="H22" i="1"/>
  <c r="F12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28" i="1" s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L224" i="1"/>
  <c r="L242" i="1"/>
  <c r="F15" i="13"/>
  <c r="G15" i="13"/>
  <c r="L207" i="1"/>
  <c r="C123" i="2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D29" i="13" s="1"/>
  <c r="C29" i="13" s="1"/>
  <c r="G29" i="13"/>
  <c r="L357" i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L277" i="1"/>
  <c r="L278" i="1"/>
  <c r="L280" i="1"/>
  <c r="L281" i="1"/>
  <c r="L282" i="1"/>
  <c r="L283" i="1"/>
  <c r="L284" i="1"/>
  <c r="C19" i="10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A40" i="12" s="1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400" i="1" s="1"/>
  <c r="C138" i="2" s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E56" i="2" s="1"/>
  <c r="E61" i="2" s="1"/>
  <c r="E62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6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K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6" i="2"/>
  <c r="C57" i="2"/>
  <c r="E57" i="2"/>
  <c r="C58" i="2"/>
  <c r="D58" i="2"/>
  <c r="E58" i="2"/>
  <c r="F58" i="2"/>
  <c r="D59" i="2"/>
  <c r="C60" i="2"/>
  <c r="C61" i="2" s="1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E111" i="2"/>
  <c r="C112" i="2"/>
  <c r="E112" i="2"/>
  <c r="C113" i="2"/>
  <c r="E113" i="2"/>
  <c r="D114" i="2"/>
  <c r="F114" i="2"/>
  <c r="G114" i="2"/>
  <c r="E117" i="2"/>
  <c r="C118" i="2"/>
  <c r="E118" i="2"/>
  <c r="E119" i="2"/>
  <c r="E120" i="2"/>
  <c r="C121" i="2"/>
  <c r="C122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J210" i="1"/>
  <c r="J256" i="1" s="1"/>
  <c r="J270" i="1" s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I451" i="1"/>
  <c r="F459" i="1"/>
  <c r="G459" i="1"/>
  <c r="G460" i="1" s="1"/>
  <c r="H639" i="1" s="1"/>
  <c r="J639" i="1" s="1"/>
  <c r="H459" i="1"/>
  <c r="F460" i="1"/>
  <c r="H460" i="1"/>
  <c r="F469" i="1"/>
  <c r="G469" i="1"/>
  <c r="H469" i="1"/>
  <c r="I469" i="1"/>
  <c r="J469" i="1"/>
  <c r="J475" i="1" s="1"/>
  <c r="H625" i="1" s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G544" i="1" s="1"/>
  <c r="H523" i="1"/>
  <c r="I523" i="1"/>
  <c r="I544" i="1" s="1"/>
  <c r="J523" i="1"/>
  <c r="J544" i="1" s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G640" i="1"/>
  <c r="H640" i="1"/>
  <c r="G642" i="1"/>
  <c r="H642" i="1"/>
  <c r="G643" i="1"/>
  <c r="H643" i="1"/>
  <c r="G644" i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I256" i="1"/>
  <c r="I270" i="1" s="1"/>
  <c r="G163" i="2"/>
  <c r="G159" i="2"/>
  <c r="F31" i="2"/>
  <c r="C26" i="10"/>
  <c r="L327" i="1"/>
  <c r="H659" i="1" s="1"/>
  <c r="L350" i="1"/>
  <c r="A31" i="12"/>
  <c r="C69" i="2"/>
  <c r="G161" i="2"/>
  <c r="D61" i="2"/>
  <c r="D62" i="2" s="1"/>
  <c r="D18" i="13"/>
  <c r="C18" i="13" s="1"/>
  <c r="D15" i="13"/>
  <c r="C15" i="13" s="1"/>
  <c r="D7" i="13"/>
  <c r="C7" i="13" s="1"/>
  <c r="F102" i="2"/>
  <c r="D18" i="2"/>
  <c r="D17" i="13"/>
  <c r="C17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31" i="2"/>
  <c r="G61" i="2"/>
  <c r="D19" i="13"/>
  <c r="C19" i="13" s="1"/>
  <c r="D14" i="13"/>
  <c r="C14" i="13" s="1"/>
  <c r="E13" i="13"/>
  <c r="C13" i="13" s="1"/>
  <c r="E77" i="2"/>
  <c r="E80" i="2" s="1"/>
  <c r="L426" i="1"/>
  <c r="H111" i="1"/>
  <c r="J640" i="1"/>
  <c r="K604" i="1"/>
  <c r="G647" i="1" s="1"/>
  <c r="J570" i="1"/>
  <c r="K570" i="1"/>
  <c r="L432" i="1"/>
  <c r="L418" i="1"/>
  <c r="D80" i="2"/>
  <c r="I168" i="1"/>
  <c r="H168" i="1"/>
  <c r="J643" i="1"/>
  <c r="J642" i="1"/>
  <c r="H475" i="1"/>
  <c r="H623" i="1" s="1"/>
  <c r="F475" i="1"/>
  <c r="H621" i="1" s="1"/>
  <c r="I475" i="1"/>
  <c r="H624" i="1" s="1"/>
  <c r="J624" i="1" s="1"/>
  <c r="G475" i="1"/>
  <c r="H622" i="1" s="1"/>
  <c r="J622" i="1" s="1"/>
  <c r="F168" i="1"/>
  <c r="J139" i="1"/>
  <c r="F570" i="1"/>
  <c r="I551" i="1"/>
  <c r="K549" i="1"/>
  <c r="G22" i="2"/>
  <c r="K544" i="1"/>
  <c r="H551" i="1"/>
  <c r="C29" i="10"/>
  <c r="I660" i="1"/>
  <c r="H139" i="1"/>
  <c r="L392" i="1"/>
  <c r="C137" i="2" s="1"/>
  <c r="F22" i="13"/>
  <c r="H25" i="13"/>
  <c r="C25" i="13" s="1"/>
  <c r="J633" i="1"/>
  <c r="H570" i="1"/>
  <c r="L559" i="1"/>
  <c r="F337" i="1"/>
  <c r="F351" i="1" s="1"/>
  <c r="G191" i="1"/>
  <c r="H191" i="1"/>
  <c r="L308" i="1"/>
  <c r="E16" i="13"/>
  <c r="C49" i="2"/>
  <c r="L569" i="1"/>
  <c r="I570" i="1"/>
  <c r="J635" i="1"/>
  <c r="G36" i="2"/>
  <c r="L564" i="1"/>
  <c r="C22" i="13"/>
  <c r="C16" i="13"/>
  <c r="H33" i="13"/>
  <c r="J638" i="1" l="1"/>
  <c r="I459" i="1"/>
  <c r="I460" i="1" s="1"/>
  <c r="H641" i="1" s="1"/>
  <c r="I445" i="1"/>
  <c r="G641" i="1" s="1"/>
  <c r="J641" i="1" s="1"/>
  <c r="J644" i="1"/>
  <c r="K597" i="1"/>
  <c r="G646" i="1" s="1"/>
  <c r="K548" i="1"/>
  <c r="H544" i="1"/>
  <c r="F551" i="1"/>
  <c r="K551" i="1"/>
  <c r="L523" i="1"/>
  <c r="L544" i="1" s="1"/>
  <c r="E127" i="2"/>
  <c r="E121" i="2"/>
  <c r="L289" i="1"/>
  <c r="L337" i="1" s="1"/>
  <c r="L351" i="1" s="1"/>
  <c r="G632" i="1" s="1"/>
  <c r="J632" i="1" s="1"/>
  <c r="C15" i="10"/>
  <c r="C13" i="10"/>
  <c r="E114" i="2"/>
  <c r="J337" i="1"/>
  <c r="J351" i="1" s="1"/>
  <c r="H663" i="1"/>
  <c r="H666" i="1" s="1"/>
  <c r="I661" i="1"/>
  <c r="C11" i="10"/>
  <c r="H256" i="1"/>
  <c r="H270" i="1" s="1"/>
  <c r="C109" i="2"/>
  <c r="C10" i="10"/>
  <c r="K270" i="1"/>
  <c r="E8" i="13"/>
  <c r="C8" i="13" s="1"/>
  <c r="C17" i="10"/>
  <c r="D12" i="13"/>
  <c r="C12" i="13" s="1"/>
  <c r="C120" i="2"/>
  <c r="G648" i="1"/>
  <c r="J648" i="1" s="1"/>
  <c r="H646" i="1"/>
  <c r="C117" i="2"/>
  <c r="C111" i="2"/>
  <c r="D5" i="13"/>
  <c r="C5" i="13" s="1"/>
  <c r="C108" i="2"/>
  <c r="D6" i="13"/>
  <c r="C6" i="13" s="1"/>
  <c r="L210" i="1"/>
  <c r="L256" i="1" s="1"/>
  <c r="L270" i="1" s="1"/>
  <c r="G631" i="1" s="1"/>
  <c r="J631" i="1" s="1"/>
  <c r="C80" i="2"/>
  <c r="F111" i="1"/>
  <c r="C55" i="2"/>
  <c r="C62" i="2" s="1"/>
  <c r="C35" i="10"/>
  <c r="E49" i="2"/>
  <c r="E50" i="2"/>
  <c r="J623" i="1"/>
  <c r="H51" i="1"/>
  <c r="H618" i="1" s="1"/>
  <c r="J618" i="1" s="1"/>
  <c r="J621" i="1"/>
  <c r="J616" i="1"/>
  <c r="C31" i="2"/>
  <c r="C50" i="2"/>
  <c r="C18" i="2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42" i="2"/>
  <c r="J50" i="1"/>
  <c r="G16" i="2"/>
  <c r="J19" i="1"/>
  <c r="G620" i="1" s="1"/>
  <c r="F33" i="13"/>
  <c r="G18" i="2"/>
  <c r="F544" i="1"/>
  <c r="H433" i="1"/>
  <c r="J619" i="1"/>
  <c r="D102" i="2"/>
  <c r="D103" i="2" s="1"/>
  <c r="I139" i="1"/>
  <c r="I192" i="1" s="1"/>
  <c r="G629" i="1" s="1"/>
  <c r="J629" i="1" s="1"/>
  <c r="A22" i="12"/>
  <c r="H645" i="1"/>
  <c r="G49" i="2"/>
  <c r="G50" i="2" s="1"/>
  <c r="J651" i="1"/>
  <c r="G570" i="1"/>
  <c r="I433" i="1"/>
  <c r="G433" i="1"/>
  <c r="I662" i="1"/>
  <c r="C27" i="10"/>
  <c r="G634" i="1"/>
  <c r="J634" i="1" s="1"/>
  <c r="E33" i="13" l="1"/>
  <c r="D35" i="13" s="1"/>
  <c r="J646" i="1"/>
  <c r="H671" i="1"/>
  <c r="C6" i="10" s="1"/>
  <c r="E144" i="2"/>
  <c r="D31" i="13"/>
  <c r="C31" i="13" s="1"/>
  <c r="H647" i="1"/>
  <c r="J647" i="1" s="1"/>
  <c r="G671" i="1"/>
  <c r="C5" i="10" s="1"/>
  <c r="C28" i="10"/>
  <c r="D24" i="10" s="1"/>
  <c r="C127" i="2"/>
  <c r="C114" i="2"/>
  <c r="F659" i="1"/>
  <c r="F663" i="1" s="1"/>
  <c r="F671" i="1" s="1"/>
  <c r="C4" i="10" s="1"/>
  <c r="C103" i="2"/>
  <c r="F192" i="1"/>
  <c r="G626" i="1" s="1"/>
  <c r="J626" i="1" s="1"/>
  <c r="C36" i="10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D33" i="13" l="1"/>
  <c r="D36" i="13" s="1"/>
  <c r="C30" i="10"/>
  <c r="D21" i="10"/>
  <c r="D10" i="10"/>
  <c r="D23" i="10"/>
  <c r="D15" i="10"/>
  <c r="D13" i="10"/>
  <c r="D19" i="10"/>
  <c r="D20" i="10"/>
  <c r="D11" i="10"/>
  <c r="D16" i="10"/>
  <c r="D26" i="10"/>
  <c r="D25" i="10"/>
  <c r="D22" i="10"/>
  <c r="D27" i="10"/>
  <c r="D18" i="10"/>
  <c r="D17" i="10"/>
  <c r="D12" i="10"/>
  <c r="C144" i="2"/>
  <c r="I659" i="1"/>
  <c r="I663" i="1" s="1"/>
  <c r="I671" i="1" s="1"/>
  <c r="C7" i="10" s="1"/>
  <c r="F666" i="1"/>
  <c r="H655" i="1"/>
  <c r="C41" i="10"/>
  <c r="D38" i="10" s="1"/>
  <c r="D28" i="10" l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<sst xmlns="http://schemas.openxmlformats.org/spreadsheetml/2006/main" count="3944" uniqueCount="910">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</sst>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522" activePane="bottomRight" state="frozen"/>
      <selection pane="topRight" activeCell="F1" sqref="F1"/>
      <selection pane="bottomLeft" activeCell="A4" sqref="A4"/>
      <selection pane="bottomRight" activeCell="H530" sqref="H53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375</v>
      </c>
      <c r="C2" s="21">
        <v>375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41044.18-9529.58</f>
        <v>31514.6</v>
      </c>
      <c r="G9" s="18">
        <v>121.29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141536.67000000001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8905.2+3745.83</f>
        <v>12651.03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1824.36</v>
      </c>
      <c r="G13" s="18"/>
      <c r="H13" s="18">
        <v>9238.08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3396.2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1050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50436.189999999995</v>
      </c>
      <c r="G19" s="41">
        <f>SUM(G9:G18)</f>
        <v>121.29</v>
      </c>
      <c r="H19" s="41">
        <f>SUM(H9:H18)</f>
        <v>9238.08</v>
      </c>
      <c r="I19" s="41">
        <f>SUM(I9:I18)</f>
        <v>0</v>
      </c>
      <c r="J19" s="41">
        <f>SUM(J9:J18)</f>
        <v>141536.67000000001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8905.2+3745.83</f>
        <v>12651.03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855.95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12593.33</v>
      </c>
      <c r="G24" s="18"/>
      <c r="H24" s="18">
        <f>30.84</f>
        <v>30.84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2350.11</v>
      </c>
      <c r="G28" s="18">
        <v>121.29</v>
      </c>
      <c r="H28" s="18">
        <f>332.88+119.88</f>
        <v>452.76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15799.390000000001</v>
      </c>
      <c r="G32" s="41">
        <f>SUM(G22:G31)</f>
        <v>121.29</v>
      </c>
      <c r="H32" s="41">
        <f>SUM(H22:H31)</f>
        <v>13134.630000000001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1050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-3896.55</v>
      </c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33586.800000000003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141536.67000000001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34636.800000000003</v>
      </c>
      <c r="G50" s="41">
        <f>SUM(G35:G49)</f>
        <v>0</v>
      </c>
      <c r="H50" s="41">
        <f>SUM(H35:H49)</f>
        <v>-3896.55</v>
      </c>
      <c r="I50" s="41">
        <f>SUM(I35:I49)</f>
        <v>0</v>
      </c>
      <c r="J50" s="41">
        <f>SUM(J35:J49)</f>
        <v>141536.67000000001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50436.19</v>
      </c>
      <c r="G51" s="41">
        <f>G50+G32</f>
        <v>121.29</v>
      </c>
      <c r="H51" s="41">
        <f>H50+H32</f>
        <v>9238.0800000000017</v>
      </c>
      <c r="I51" s="41">
        <f>I50+I32</f>
        <v>0</v>
      </c>
      <c r="J51" s="41">
        <f>J50+J32</f>
        <v>141536.67000000001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1047365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1047365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>
        <v>2000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2000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195.54</v>
      </c>
      <c r="G95" s="18"/>
      <c r="H95" s="18"/>
      <c r="I95" s="18"/>
      <c r="J95" s="18">
        <f>27.45+57.14</f>
        <v>84.59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881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489.51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1189.07+4727.07</f>
        <v>5916.1399999999994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7482.19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84.59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1054847.19</v>
      </c>
      <c r="G111" s="41">
        <f>G59+G110</f>
        <v>0</v>
      </c>
      <c r="H111" s="41">
        <f>H59+H78+H93+H110</f>
        <v>2000</v>
      </c>
      <c r="I111" s="41">
        <f>I59+I110</f>
        <v>0</v>
      </c>
      <c r="J111" s="41">
        <f>J59+J110</f>
        <v>84.59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208686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286429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495115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51088.85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51088.85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546203.85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9981.59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16409.169999999998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36.79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5693.09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18078.48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18078.48</v>
      </c>
      <c r="G161" s="41">
        <f>SUM(G149:G160)</f>
        <v>0</v>
      </c>
      <c r="H161" s="41">
        <f>SUM(H149:H160)</f>
        <v>32120.639999999999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18078.48</v>
      </c>
      <c r="G168" s="41">
        <f>G146+G161+SUM(G162:G167)</f>
        <v>0</v>
      </c>
      <c r="H168" s="41">
        <f>H146+H161+SUM(H162:H167)</f>
        <v>32120.639999999999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8845.35</v>
      </c>
      <c r="H178" s="18"/>
      <c r="I178" s="18"/>
      <c r="J178" s="18">
        <v>40000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8845.35</v>
      </c>
      <c r="H182" s="41">
        <f>SUM(H178:H181)</f>
        <v>0</v>
      </c>
      <c r="I182" s="41">
        <f>SUM(I178:I181)</f>
        <v>0</v>
      </c>
      <c r="J182" s="41">
        <f>SUM(J178:J181)</f>
        <v>40000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8845.35</v>
      </c>
      <c r="H191" s="41">
        <f>+H182+SUM(H187:H190)</f>
        <v>0</v>
      </c>
      <c r="I191" s="41">
        <f>I176+I182+SUM(I187:I190)</f>
        <v>0</v>
      </c>
      <c r="J191" s="41">
        <f>J182</f>
        <v>40000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1619129.52</v>
      </c>
      <c r="G192" s="47">
        <f>G111+G139+G168+G191</f>
        <v>8845.35</v>
      </c>
      <c r="H192" s="47">
        <f>H111+H139+H168+H191</f>
        <v>34120.639999999999</v>
      </c>
      <c r="I192" s="47">
        <f>I111+I139+I168+I191</f>
        <v>0</v>
      </c>
      <c r="J192" s="47">
        <f>J111+J139+J191</f>
        <v>40084.589999999997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203402.53</v>
      </c>
      <c r="G196" s="18">
        <v>67927.77</v>
      </c>
      <c r="H196" s="18">
        <v>23651.06</v>
      </c>
      <c r="I196" s="18">
        <v>9090.2199999999993</v>
      </c>
      <c r="J196" s="18">
        <v>1504.92</v>
      </c>
      <c r="K196" s="18"/>
      <c r="L196" s="19">
        <f>SUM(F196:K196)</f>
        <v>305576.49999999994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42785.47</v>
      </c>
      <c r="G197" s="18">
        <v>27825.51</v>
      </c>
      <c r="H197" s="18">
        <v>54987.3</v>
      </c>
      <c r="I197" s="18">
        <v>1111.05</v>
      </c>
      <c r="J197" s="18"/>
      <c r="K197" s="18"/>
      <c r="L197" s="19">
        <f>SUM(F197:K197)</f>
        <v>126709.33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950+1900</f>
        <v>2850</v>
      </c>
      <c r="G199" s="18">
        <f>157.39+338.49</f>
        <v>495.88</v>
      </c>
      <c r="H199" s="18">
        <v>220</v>
      </c>
      <c r="I199" s="18">
        <v>69.48</v>
      </c>
      <c r="J199" s="18"/>
      <c r="K199" s="18"/>
      <c r="L199" s="19">
        <f>SUM(F199:K199)</f>
        <v>3635.36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5221.6000000000004</v>
      </c>
      <c r="G201" s="18">
        <v>417.73</v>
      </c>
      <c r="H201" s="18">
        <f>50+10098.21+11730.37+10237.66+6389.19</f>
        <v>38505.43</v>
      </c>
      <c r="I201" s="18">
        <f>106.64+207.29</f>
        <v>313.93</v>
      </c>
      <c r="J201" s="18"/>
      <c r="K201" s="18"/>
      <c r="L201" s="19">
        <f t="shared" ref="L201:L207" si="0">SUM(F201:K201)</f>
        <v>44458.69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250</v>
      </c>
      <c r="G202" s="18">
        <f>19.99+313</f>
        <v>332.99</v>
      </c>
      <c r="H202" s="18">
        <f>3683.29+57.5</f>
        <v>3740.79</v>
      </c>
      <c r="I202" s="18">
        <f>573.25+2379.08</f>
        <v>2952.33</v>
      </c>
      <c r="J202" s="18"/>
      <c r="K202" s="18"/>
      <c r="L202" s="19">
        <f t="shared" si="0"/>
        <v>7276.11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1748+1750</f>
        <v>3498</v>
      </c>
      <c r="G203" s="18">
        <f>139.84+140</f>
        <v>279.84000000000003</v>
      </c>
      <c r="H203" s="18">
        <f>416.54+100+5500+935+71140</f>
        <v>78091.539999999994</v>
      </c>
      <c r="I203" s="18">
        <v>241.31</v>
      </c>
      <c r="J203" s="18"/>
      <c r="K203" s="18">
        <v>16</v>
      </c>
      <c r="L203" s="19">
        <f t="shared" si="0"/>
        <v>82126.689999999988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58327.09</v>
      </c>
      <c r="G204" s="18">
        <v>29198.36</v>
      </c>
      <c r="H204" s="18">
        <v>11991.07</v>
      </c>
      <c r="I204" s="18">
        <v>1218.33</v>
      </c>
      <c r="J204" s="18">
        <v>449.98</v>
      </c>
      <c r="K204" s="18"/>
      <c r="L204" s="19">
        <f t="shared" si="0"/>
        <v>101184.82999999999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4447.18</v>
      </c>
      <c r="G206" s="18">
        <v>427.02</v>
      </c>
      <c r="H206" s="18">
        <v>20900.79</v>
      </c>
      <c r="I206" s="18">
        <v>19864.68</v>
      </c>
      <c r="J206" s="18"/>
      <c r="K206" s="18"/>
      <c r="L206" s="19">
        <f t="shared" si="0"/>
        <v>45639.67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26483+26625.21+874.64+21689.8</f>
        <v>75672.649999999994</v>
      </c>
      <c r="I207" s="18"/>
      <c r="J207" s="18"/>
      <c r="K207" s="18"/>
      <c r="L207" s="19">
        <f t="shared" si="0"/>
        <v>75672.649999999994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6</v>
      </c>
      <c r="H208" s="18">
        <v>251.5</v>
      </c>
      <c r="I208" s="18"/>
      <c r="J208" s="18"/>
      <c r="K208" s="18"/>
      <c r="L208" s="19">
        <f>SUM(F208:K208)</f>
        <v>257.5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320781.87</v>
      </c>
      <c r="G210" s="41">
        <f t="shared" si="1"/>
        <v>126911.1</v>
      </c>
      <c r="H210" s="41">
        <f t="shared" si="1"/>
        <v>308012.13</v>
      </c>
      <c r="I210" s="41">
        <f t="shared" si="1"/>
        <v>34861.33</v>
      </c>
      <c r="J210" s="41">
        <f t="shared" si="1"/>
        <v>1954.9</v>
      </c>
      <c r="K210" s="41">
        <f t="shared" si="1"/>
        <v>16</v>
      </c>
      <c r="L210" s="41">
        <f t="shared" si="1"/>
        <v>792537.33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129868.85</v>
      </c>
      <c r="I214" s="18"/>
      <c r="J214" s="18"/>
      <c r="K214" s="18"/>
      <c r="L214" s="19">
        <f>SUM(F214:K214)</f>
        <v>129868.85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63558</v>
      </c>
      <c r="I215" s="18"/>
      <c r="J215" s="18"/>
      <c r="K215" s="18"/>
      <c r="L215" s="19">
        <f>SUM(F215:K215)</f>
        <v>63558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13241+10845.1</f>
        <v>24086.1</v>
      </c>
      <c r="I225" s="18"/>
      <c r="J225" s="18"/>
      <c r="K225" s="18"/>
      <c r="L225" s="19">
        <f t="shared" si="2"/>
        <v>24086.1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217512.95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217512.95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305681.84999999998</v>
      </c>
      <c r="I232" s="18"/>
      <c r="J232" s="18"/>
      <c r="K232" s="18"/>
      <c r="L232" s="19">
        <f>SUM(F232:K232)</f>
        <v>305681.84999999998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273588.58</v>
      </c>
      <c r="I233" s="18"/>
      <c r="J233" s="18"/>
      <c r="K233" s="18"/>
      <c r="L233" s="19">
        <f>SUM(F233:K233)</f>
        <v>273588.58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13241+10845.1</f>
        <v>24086.1</v>
      </c>
      <c r="I243" s="18"/>
      <c r="J243" s="18"/>
      <c r="K243" s="18"/>
      <c r="L243" s="19">
        <f t="shared" si="4"/>
        <v>24086.1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603356.52999999991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603356.52999999991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320781.87</v>
      </c>
      <c r="G256" s="41">
        <f t="shared" si="8"/>
        <v>126911.1</v>
      </c>
      <c r="H256" s="41">
        <f t="shared" si="8"/>
        <v>1128881.6099999999</v>
      </c>
      <c r="I256" s="41">
        <f t="shared" si="8"/>
        <v>34861.33</v>
      </c>
      <c r="J256" s="41">
        <f t="shared" si="8"/>
        <v>1954.9</v>
      </c>
      <c r="K256" s="41">
        <f t="shared" si="8"/>
        <v>16</v>
      </c>
      <c r="L256" s="41">
        <f t="shared" si="8"/>
        <v>1613406.81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8845.35</v>
      </c>
      <c r="L262" s="19">
        <f>SUM(F262:K262)</f>
        <v>8845.35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25000+15000</f>
        <v>40000</v>
      </c>
      <c r="L265" s="19">
        <f t="shared" si="9"/>
        <v>40000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48845.35</v>
      </c>
      <c r="L269" s="41">
        <f t="shared" si="9"/>
        <v>48845.35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320781.87</v>
      </c>
      <c r="G270" s="42">
        <f t="shared" si="11"/>
        <v>126911.1</v>
      </c>
      <c r="H270" s="42">
        <f t="shared" si="11"/>
        <v>1128881.6099999999</v>
      </c>
      <c r="I270" s="42">
        <f t="shared" si="11"/>
        <v>34861.33</v>
      </c>
      <c r="J270" s="42">
        <f t="shared" si="11"/>
        <v>1954.9</v>
      </c>
      <c r="K270" s="42">
        <f t="shared" si="11"/>
        <v>48861.35</v>
      </c>
      <c r="L270" s="42">
        <f t="shared" si="11"/>
        <v>1662252.1600000001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13526.69+3189+1527+418.35</f>
        <v>18661.04</v>
      </c>
      <c r="G275" s="18">
        <f>1034.8+47.34+387.44+19.72</f>
        <v>1489.3</v>
      </c>
      <c r="H275" s="18">
        <f>70</f>
        <v>70</v>
      </c>
      <c r="I275" s="18">
        <f>252.86+156.12+2479.41+224.55+299+495+254.4</f>
        <v>4161.34</v>
      </c>
      <c r="J275" s="18">
        <f>384+280.34</f>
        <v>664.33999999999992</v>
      </c>
      <c r="K275" s="18"/>
      <c r="L275" s="19">
        <f>SUM(F275:K275)</f>
        <v>25046.02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-240.8</v>
      </c>
      <c r="I276" s="18"/>
      <c r="J276" s="18">
        <f>331.18+864.82+2495</f>
        <v>3691</v>
      </c>
      <c r="K276" s="18"/>
      <c r="L276" s="19">
        <f>SUM(F276:K276)</f>
        <v>3450.2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>
        <v>1080</v>
      </c>
      <c r="I278" s="18"/>
      <c r="J278" s="18"/>
      <c r="K278" s="18"/>
      <c r="L278" s="19">
        <f>SUM(F278:K278)</f>
        <v>1080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28.69</v>
      </c>
      <c r="J280" s="18"/>
      <c r="K280" s="18"/>
      <c r="L280" s="19">
        <f t="shared" ref="L280:L286" si="12">SUM(F280:K280)</f>
        <v>28.69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1390+432.31+2835.05</f>
        <v>4657.3600000000006</v>
      </c>
      <c r="I281" s="18">
        <f>65.97+1216.18+411.06</f>
        <v>1693.21</v>
      </c>
      <c r="J281" s="18"/>
      <c r="K281" s="18"/>
      <c r="L281" s="19">
        <f t="shared" si="12"/>
        <v>6350.5700000000006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f>355.04+1085</f>
        <v>1440.04</v>
      </c>
      <c r="I282" s="18"/>
      <c r="J282" s="18"/>
      <c r="K282" s="18"/>
      <c r="L282" s="19">
        <f t="shared" si="12"/>
        <v>1440.04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621.67</f>
        <v>621.66999999999996</v>
      </c>
      <c r="L284" s="19">
        <f t="shared" si="12"/>
        <v>621.66999999999996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18661.04</v>
      </c>
      <c r="G289" s="42">
        <f t="shared" si="13"/>
        <v>1489.3</v>
      </c>
      <c r="H289" s="42">
        <f t="shared" si="13"/>
        <v>7006.6</v>
      </c>
      <c r="I289" s="42">
        <f t="shared" si="13"/>
        <v>5883.24</v>
      </c>
      <c r="J289" s="42">
        <f t="shared" si="13"/>
        <v>4355.34</v>
      </c>
      <c r="K289" s="42">
        <f t="shared" si="13"/>
        <v>621.66999999999996</v>
      </c>
      <c r="L289" s="41">
        <f t="shared" si="13"/>
        <v>38017.19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18661.04</v>
      </c>
      <c r="G337" s="41">
        <f t="shared" si="20"/>
        <v>1489.3</v>
      </c>
      <c r="H337" s="41">
        <f t="shared" si="20"/>
        <v>7006.6</v>
      </c>
      <c r="I337" s="41">
        <f t="shared" si="20"/>
        <v>5883.24</v>
      </c>
      <c r="J337" s="41">
        <f t="shared" si="20"/>
        <v>4355.34</v>
      </c>
      <c r="K337" s="41">
        <f t="shared" si="20"/>
        <v>621.66999999999996</v>
      </c>
      <c r="L337" s="41">
        <f t="shared" si="20"/>
        <v>38017.19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18661.04</v>
      </c>
      <c r="G351" s="41">
        <f>G337</f>
        <v>1489.3</v>
      </c>
      <c r="H351" s="41">
        <f>H337</f>
        <v>7006.6</v>
      </c>
      <c r="I351" s="41">
        <f>I337</f>
        <v>5883.24</v>
      </c>
      <c r="J351" s="41">
        <f>J337</f>
        <v>4355.34</v>
      </c>
      <c r="K351" s="47">
        <f>K337+K350</f>
        <v>621.66999999999996</v>
      </c>
      <c r="L351" s="41">
        <f>L337+L350</f>
        <v>38017.19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5613.26</v>
      </c>
      <c r="G357" s="18">
        <f>429.43+126.32</f>
        <v>555.75</v>
      </c>
      <c r="H357" s="18">
        <v>2669.46</v>
      </c>
      <c r="I357" s="18"/>
      <c r="J357" s="18">
        <v>6.88</v>
      </c>
      <c r="K357" s="18"/>
      <c r="L357" s="13">
        <f>SUM(F357:K357)</f>
        <v>8845.35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5613.26</v>
      </c>
      <c r="G361" s="47">
        <f t="shared" si="22"/>
        <v>555.75</v>
      </c>
      <c r="H361" s="47">
        <f t="shared" si="22"/>
        <v>2669.46</v>
      </c>
      <c r="I361" s="47">
        <f t="shared" si="22"/>
        <v>0</v>
      </c>
      <c r="J361" s="47">
        <f t="shared" si="22"/>
        <v>6.88</v>
      </c>
      <c r="K361" s="47">
        <f t="shared" si="22"/>
        <v>0</v>
      </c>
      <c r="L361" s="47">
        <f t="shared" si="22"/>
        <v>8845.35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25000</v>
      </c>
      <c r="H388" s="18">
        <v>27.45</v>
      </c>
      <c r="I388" s="18"/>
      <c r="J388" s="24" t="s">
        <v>289</v>
      </c>
      <c r="K388" s="24" t="s">
        <v>289</v>
      </c>
      <c r="L388" s="56">
        <f t="shared" si="25"/>
        <v>25027.45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25000</v>
      </c>
      <c r="H392" s="139">
        <f>SUM(H386:H391)</f>
        <v>27.45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25027.45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15000</v>
      </c>
      <c r="H397" s="18">
        <v>57.14</v>
      </c>
      <c r="I397" s="18"/>
      <c r="J397" s="24" t="s">
        <v>289</v>
      </c>
      <c r="K397" s="24" t="s">
        <v>289</v>
      </c>
      <c r="L397" s="56">
        <f t="shared" si="26"/>
        <v>15057.14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</v>
      </c>
      <c r="H400" s="47">
        <f>SUM(H394:H399)</f>
        <v>57.14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15057.14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40000</v>
      </c>
      <c r="H407" s="47">
        <f>H392+H400+H406</f>
        <v>84.59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40084.589999999997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54267.57</v>
      </c>
      <c r="G439" s="18">
        <v>87269.1</v>
      </c>
      <c r="H439" s="18"/>
      <c r="I439" s="56">
        <f t="shared" si="33"/>
        <v>141536.67000000001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54267.57</v>
      </c>
      <c r="G445" s="13">
        <f>SUM(G438:G444)</f>
        <v>87269.1</v>
      </c>
      <c r="H445" s="13">
        <f>SUM(H438:H444)</f>
        <v>0</v>
      </c>
      <c r="I445" s="13">
        <f>SUM(I438:I444)</f>
        <v>141536.67000000001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54267.57</v>
      </c>
      <c r="G458" s="18">
        <v>87269.1</v>
      </c>
      <c r="H458" s="18"/>
      <c r="I458" s="56">
        <f t="shared" si="34"/>
        <v>141536.67000000001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54267.57</v>
      </c>
      <c r="G459" s="83">
        <f>SUM(G453:G458)</f>
        <v>87269.1</v>
      </c>
      <c r="H459" s="83">
        <f>SUM(H453:H458)</f>
        <v>0</v>
      </c>
      <c r="I459" s="83">
        <f>SUM(I453:I458)</f>
        <v>141536.67000000001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54267.57</v>
      </c>
      <c r="G460" s="42">
        <f>G451+G459</f>
        <v>87269.1</v>
      </c>
      <c r="H460" s="42">
        <f>H451+H459</f>
        <v>0</v>
      </c>
      <c r="I460" s="42">
        <f>I451+I459</f>
        <v>141536.67000000001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77759.44</v>
      </c>
      <c r="G464" s="18">
        <v>0</v>
      </c>
      <c r="H464" s="18">
        <v>0</v>
      </c>
      <c r="I464" s="18"/>
      <c r="J464" s="18">
        <v>101452.08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1619129.52</v>
      </c>
      <c r="G467" s="18">
        <v>8845.35</v>
      </c>
      <c r="H467" s="18">
        <f>32120.64+2000</f>
        <v>34120.639999999999</v>
      </c>
      <c r="I467" s="18"/>
      <c r="J467" s="18">
        <f>40000+27.45+57.14</f>
        <v>40084.589999999997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1619129.52</v>
      </c>
      <c r="G469" s="53">
        <f>SUM(G467:G468)</f>
        <v>8845.35</v>
      </c>
      <c r="H469" s="53">
        <f>SUM(H467:H468)</f>
        <v>34120.639999999999</v>
      </c>
      <c r="I469" s="53">
        <f>SUM(I467:I468)</f>
        <v>0</v>
      </c>
      <c r="J469" s="53">
        <f>SUM(J467:J468)</f>
        <v>40084.589999999997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1662252.16</v>
      </c>
      <c r="G471" s="18">
        <v>8845.35</v>
      </c>
      <c r="H471" s="18">
        <f>32120.64+5896.55</f>
        <v>38017.19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1662252.16</v>
      </c>
      <c r="G473" s="53">
        <f>SUM(G471:G472)</f>
        <v>8845.35</v>
      </c>
      <c r="H473" s="53">
        <f>SUM(H471:H472)</f>
        <v>38017.19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34636.800000000047</v>
      </c>
      <c r="G475" s="53">
        <f>(G464+G469)- G473</f>
        <v>0</v>
      </c>
      <c r="H475" s="53">
        <f>(H464+H469)- H473</f>
        <v>-3896.5500000000029</v>
      </c>
      <c r="I475" s="53">
        <f>(I464+I469)- I473</f>
        <v>0</v>
      </c>
      <c r="J475" s="53">
        <f>(J464+J469)- J473</f>
        <v>141536.66999999998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23899.98+18885.49</f>
        <v>42785.47</v>
      </c>
      <c r="G520" s="18">
        <f>24338.23+487.61+57.2+73.82+2718.83+149.82</f>
        <v>27825.510000000002</v>
      </c>
      <c r="H520" s="18">
        <f>42359.5+12627.8-240.8</f>
        <v>54746.5</v>
      </c>
      <c r="I520" s="18">
        <f>1111.05</f>
        <v>1111.05</v>
      </c>
      <c r="J520" s="18">
        <f>331.18+864.82+2495</f>
        <v>3691</v>
      </c>
      <c r="K520" s="18"/>
      <c r="L520" s="88">
        <f>SUM(F520:K520)</f>
        <v>130159.53000000001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63558</f>
        <v>63558</v>
      </c>
      <c r="I521" s="18"/>
      <c r="J521" s="18"/>
      <c r="K521" s="18"/>
      <c r="L521" s="88">
        <f>SUM(F521:K521)</f>
        <v>63558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273588.58</v>
      </c>
      <c r="I522" s="18"/>
      <c r="J522" s="18"/>
      <c r="K522" s="18"/>
      <c r="L522" s="88">
        <f>SUM(F522:K522)</f>
        <v>273588.58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42785.47</v>
      </c>
      <c r="G523" s="108">
        <f t="shared" ref="G523:L523" si="36">SUM(G520:G522)</f>
        <v>27825.510000000002</v>
      </c>
      <c r="H523" s="108">
        <f t="shared" si="36"/>
        <v>391893.08</v>
      </c>
      <c r="I523" s="108">
        <f t="shared" si="36"/>
        <v>1111.05</v>
      </c>
      <c r="J523" s="108">
        <f t="shared" si="36"/>
        <v>3691</v>
      </c>
      <c r="K523" s="108">
        <f t="shared" si="36"/>
        <v>0</v>
      </c>
      <c r="L523" s="89">
        <f t="shared" si="36"/>
        <v>467306.11000000004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1597.06+11730.37+10237.66+6389.19+2835.05+411.06+57.5</f>
        <v>33257.89</v>
      </c>
      <c r="I525" s="18"/>
      <c r="J525" s="18"/>
      <c r="K525" s="18"/>
      <c r="L525" s="88">
        <f>SUM(F525:K525)</f>
        <v>33257.89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33257.89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33257.89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18912</v>
      </c>
      <c r="I530" s="18"/>
      <c r="J530" s="18"/>
      <c r="K530" s="18">
        <v>229.57</v>
      </c>
      <c r="L530" s="88">
        <f>SUM(F530:K530)</f>
        <v>19141.57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18912</v>
      </c>
      <c r="I533" s="89">
        <f t="shared" si="38"/>
        <v>0</v>
      </c>
      <c r="J533" s="89">
        <f t="shared" si="38"/>
        <v>0</v>
      </c>
      <c r="K533" s="89">
        <f t="shared" si="38"/>
        <v>229.57</v>
      </c>
      <c r="L533" s="89">
        <f t="shared" si="38"/>
        <v>19141.57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26625.21</v>
      </c>
      <c r="I540" s="18"/>
      <c r="J540" s="18"/>
      <c r="K540" s="18"/>
      <c r="L540" s="88">
        <f>SUM(F540:K540)</f>
        <v>26625.21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26625.21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26625.21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42785.47</v>
      </c>
      <c r="G544" s="89">
        <f t="shared" ref="G544:L544" si="41">G523+G528+G533+G538+G543</f>
        <v>27825.510000000002</v>
      </c>
      <c r="H544" s="89">
        <f t="shared" si="41"/>
        <v>470688.18000000005</v>
      </c>
      <c r="I544" s="89">
        <f t="shared" si="41"/>
        <v>1111.05</v>
      </c>
      <c r="J544" s="89">
        <f t="shared" si="41"/>
        <v>3691</v>
      </c>
      <c r="K544" s="89">
        <f t="shared" si="41"/>
        <v>229.57</v>
      </c>
      <c r="L544" s="89">
        <f t="shared" si="41"/>
        <v>546330.78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130159.53000000001</v>
      </c>
      <c r="G548" s="87">
        <f>L525</f>
        <v>33257.89</v>
      </c>
      <c r="H548" s="87">
        <f>L530</f>
        <v>19141.57</v>
      </c>
      <c r="I548" s="87">
        <f>L535</f>
        <v>0</v>
      </c>
      <c r="J548" s="87">
        <f>L540</f>
        <v>26625.21</v>
      </c>
      <c r="K548" s="87">
        <f>SUM(F548:J548)</f>
        <v>209184.2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63558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63558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273588.58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273588.58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467306.11000000004</v>
      </c>
      <c r="G551" s="89">
        <f t="shared" si="42"/>
        <v>33257.89</v>
      </c>
      <c r="H551" s="89">
        <f t="shared" si="42"/>
        <v>19141.57</v>
      </c>
      <c r="I551" s="89">
        <f t="shared" si="42"/>
        <v>0</v>
      </c>
      <c r="J551" s="89">
        <f t="shared" si="42"/>
        <v>26625.21</v>
      </c>
      <c r="K551" s="89">
        <f t="shared" si="42"/>
        <v>546330.78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129868.85</v>
      </c>
      <c r="H574" s="18">
        <v>305681.84999999998</v>
      </c>
      <c r="I574" s="87">
        <f>SUM(F574:H574)</f>
        <v>435550.69999999995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54987.3</v>
      </c>
      <c r="G578" s="18">
        <v>63558</v>
      </c>
      <c r="H578" s="18">
        <v>143849.44</v>
      </c>
      <c r="I578" s="87">
        <f t="shared" si="47"/>
        <v>262394.74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129739.14</v>
      </c>
      <c r="I581" s="87">
        <f t="shared" si="47"/>
        <v>129739.14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26483</v>
      </c>
      <c r="I590" s="18">
        <v>13241</v>
      </c>
      <c r="J590" s="18">
        <v>13241</v>
      </c>
      <c r="K590" s="104">
        <f t="shared" ref="K590:K596" si="48">SUM(H590:J590)</f>
        <v>52965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26625.21</v>
      </c>
      <c r="I591" s="18"/>
      <c r="J591" s="18"/>
      <c r="K591" s="104">
        <f t="shared" si="48"/>
        <v>26625.21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874.64</v>
      </c>
      <c r="I594" s="18"/>
      <c r="J594" s="18"/>
      <c r="K594" s="104">
        <f t="shared" si="48"/>
        <v>874.64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21689.8</v>
      </c>
      <c r="I596" s="18">
        <v>10845.1</v>
      </c>
      <c r="J596" s="18">
        <v>10845.1</v>
      </c>
      <c r="K596" s="104">
        <f t="shared" si="48"/>
        <v>43380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75672.649999999994</v>
      </c>
      <c r="I597" s="108">
        <f>SUM(I590:I596)</f>
        <v>24086.1</v>
      </c>
      <c r="J597" s="108">
        <f>SUM(J590:J596)</f>
        <v>24086.1</v>
      </c>
      <c r="K597" s="108">
        <f>SUM(K590:K596)</f>
        <v>123844.84999999999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6310.24</v>
      </c>
      <c r="I603" s="18"/>
      <c r="J603" s="18"/>
      <c r="K603" s="104">
        <f>SUM(H603:J603)</f>
        <v>6310.24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6310.24</v>
      </c>
      <c r="I604" s="108">
        <f>SUM(I601:I603)</f>
        <v>0</v>
      </c>
      <c r="J604" s="108">
        <f>SUM(J601:J603)</f>
        <v>0</v>
      </c>
      <c r="K604" s="108">
        <f>SUM(K601:K603)</f>
        <v>6310.24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1900</v>
      </c>
      <c r="G610" s="18">
        <f>145.37+186.45+6.67</f>
        <v>338.49</v>
      </c>
      <c r="H610" s="18"/>
      <c r="I610" s="18"/>
      <c r="J610" s="18"/>
      <c r="K610" s="18"/>
      <c r="L610" s="88">
        <f>SUM(F610:K610)</f>
        <v>2238.4899999999998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1900</v>
      </c>
      <c r="G613" s="108">
        <f t="shared" si="49"/>
        <v>338.49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2238.4899999999998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50436.189999999995</v>
      </c>
      <c r="H616" s="109">
        <f>SUM(F51)</f>
        <v>50436.19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121.29</v>
      </c>
      <c r="H617" s="109">
        <f>SUM(G51)</f>
        <v>121.29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9238.08</v>
      </c>
      <c r="H618" s="109">
        <f>SUM(H51)</f>
        <v>9238.0800000000017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141536.67000000001</v>
      </c>
      <c r="H620" s="109">
        <f>SUM(J51)</f>
        <v>141536.67000000001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34636.800000000003</v>
      </c>
      <c r="H621" s="109">
        <f>F475</f>
        <v>34636.800000000047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-3896.55</v>
      </c>
      <c r="H623" s="109">
        <f>H475</f>
        <v>-3896.5500000000029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141536.67000000001</v>
      </c>
      <c r="H625" s="109">
        <f>J475</f>
        <v>141536.66999999998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1619129.52</v>
      </c>
      <c r="H626" s="104">
        <f>SUM(F467)</f>
        <v>1619129.52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8845.35</v>
      </c>
      <c r="H627" s="104">
        <f>SUM(G467)</f>
        <v>8845.35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34120.639999999999</v>
      </c>
      <c r="H628" s="104">
        <f>SUM(H467)</f>
        <v>34120.639999999999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40084.589999999997</v>
      </c>
      <c r="H630" s="104">
        <f>SUM(J467)</f>
        <v>40084.589999999997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1662252.1600000001</v>
      </c>
      <c r="H631" s="104">
        <f>SUM(F471)</f>
        <v>1662252.16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38017.19</v>
      </c>
      <c r="H632" s="104">
        <f>SUM(H471)</f>
        <v>38017.19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8845.35</v>
      </c>
      <c r="H634" s="104">
        <f>SUM(G471)</f>
        <v>8845.35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40084.589999999997</v>
      </c>
      <c r="H636" s="164">
        <f>SUM(J467)</f>
        <v>40084.589999999997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54267.57</v>
      </c>
      <c r="H638" s="104">
        <f>SUM(F460)</f>
        <v>54267.57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87269.1</v>
      </c>
      <c r="H639" s="104">
        <f>SUM(G460)</f>
        <v>87269.1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141536.67000000001</v>
      </c>
      <c r="H641" s="104">
        <f>SUM(I460)</f>
        <v>141536.67000000001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84.59</v>
      </c>
      <c r="H643" s="104">
        <f>H407</f>
        <v>84.59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40000</v>
      </c>
      <c r="H644" s="104">
        <f>G407</f>
        <v>40000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40084.589999999997</v>
      </c>
      <c r="H645" s="104">
        <f>L407</f>
        <v>40084.589999999997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123844.84999999999</v>
      </c>
      <c r="H646" s="104">
        <f>L207+L225+L243</f>
        <v>123844.85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6310.24</v>
      </c>
      <c r="H647" s="104">
        <f>(J256+J337)-(J254+J335)</f>
        <v>6310.24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75672.649999999994</v>
      </c>
      <c r="H648" s="104">
        <f>H597</f>
        <v>75672.649999999994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24086.1</v>
      </c>
      <c r="H649" s="104">
        <f>I597</f>
        <v>24086.1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24086.1</v>
      </c>
      <c r="H650" s="104">
        <f>J597</f>
        <v>24086.1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8845.35</v>
      </c>
      <c r="H651" s="104">
        <f>K262+K344</f>
        <v>8845.35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40000</v>
      </c>
      <c r="H654" s="104">
        <f>K265+K346</f>
        <v>40000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839399.87</v>
      </c>
      <c r="G659" s="19">
        <f>(L228+L308+L358)</f>
        <v>217512.95</v>
      </c>
      <c r="H659" s="19">
        <f>(L246+L327+L359)</f>
        <v>603356.52999999991</v>
      </c>
      <c r="I659" s="19">
        <f>SUM(F659:H659)</f>
        <v>1660269.35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75672.649999999994</v>
      </c>
      <c r="G661" s="19">
        <f>(L225+L305)-(J225+J305)</f>
        <v>24086.1</v>
      </c>
      <c r="H661" s="19">
        <f>(L243+L324)-(J243+J324)</f>
        <v>24086.1</v>
      </c>
      <c r="I661" s="19">
        <f>SUM(F661:H661)</f>
        <v>123844.85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63536.03</v>
      </c>
      <c r="G662" s="199">
        <f>SUM(G574:G586)+SUM(I601:I603)+L611</f>
        <v>193426.85</v>
      </c>
      <c r="H662" s="199">
        <f>SUM(H574:H586)+SUM(J601:J603)+L612</f>
        <v>579270.42999999993</v>
      </c>
      <c r="I662" s="19">
        <f>SUM(F662:H662)</f>
        <v>836233.30999999994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700191.19</v>
      </c>
      <c r="G663" s="19">
        <f>G659-SUM(G660:G662)</f>
        <v>0</v>
      </c>
      <c r="H663" s="19">
        <f>H659-SUM(H660:H662)</f>
        <v>0</v>
      </c>
      <c r="I663" s="19">
        <f>I659-SUM(I660:I662)</f>
        <v>700191.19000000018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25.86</v>
      </c>
      <c r="G664" s="248"/>
      <c r="H664" s="248"/>
      <c r="I664" s="19">
        <f>SUM(F664:H664)</f>
        <v>25.86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27076.23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27076.23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27076.23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27076.23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2" sqref="B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NELSON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222063.57</v>
      </c>
      <c r="C9" s="229">
        <f>'DOE25'!G196+'DOE25'!G214+'DOE25'!G232+'DOE25'!G275+'DOE25'!G294+'DOE25'!G313</f>
        <v>69417.070000000007</v>
      </c>
    </row>
    <row r="10" spans="1:3" x14ac:dyDescent="0.2">
      <c r="A10" t="s">
        <v>779</v>
      </c>
      <c r="B10" s="240">
        <v>207009.88</v>
      </c>
      <c r="C10" s="240">
        <v>64711.29</v>
      </c>
    </row>
    <row r="11" spans="1:3" x14ac:dyDescent="0.2">
      <c r="A11" t="s">
        <v>780</v>
      </c>
      <c r="B11" s="240">
        <v>15053.69</v>
      </c>
      <c r="C11" s="240">
        <v>4705.78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222063.57</v>
      </c>
      <c r="C13" s="231">
        <f>SUM(C10:C12)</f>
        <v>69417.070000000007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42785.47</v>
      </c>
      <c r="C18" s="229">
        <f>'DOE25'!G197+'DOE25'!G215+'DOE25'!G233+'DOE25'!G276+'DOE25'!G295+'DOE25'!G314</f>
        <v>27825.51</v>
      </c>
    </row>
    <row r="19" spans="1:3" x14ac:dyDescent="0.2">
      <c r="A19" t="s">
        <v>779</v>
      </c>
      <c r="B19" s="240">
        <v>23899.98</v>
      </c>
      <c r="C19" s="240">
        <v>15543.34</v>
      </c>
    </row>
    <row r="20" spans="1:3" x14ac:dyDescent="0.2">
      <c r="A20" t="s">
        <v>780</v>
      </c>
      <c r="B20" s="240">
        <v>18885.490000000002</v>
      </c>
      <c r="C20" s="240">
        <v>12282.17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42785.47</v>
      </c>
      <c r="C22" s="231">
        <f>SUM(C19:C21)</f>
        <v>27825.510000000002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2850</v>
      </c>
      <c r="C36" s="235">
        <f>'DOE25'!G199+'DOE25'!G217+'DOE25'!G235+'DOE25'!G278+'DOE25'!G297+'DOE25'!G316</f>
        <v>495.88</v>
      </c>
    </row>
    <row r="37" spans="1:3" x14ac:dyDescent="0.2">
      <c r="A37" t="s">
        <v>779</v>
      </c>
      <c r="B37" s="240">
        <v>2850</v>
      </c>
      <c r="C37" s="240">
        <v>495.88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2850</v>
      </c>
      <c r="C40" s="231">
        <f>SUM(C37:C39)</f>
        <v>495.88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NELSON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1208618.4699999997</v>
      </c>
      <c r="D5" s="20">
        <f>SUM('DOE25'!L196:L199)+SUM('DOE25'!L214:L217)+SUM('DOE25'!L232:L235)-F5-G5</f>
        <v>1207113.5499999998</v>
      </c>
      <c r="E5" s="243"/>
      <c r="F5" s="255">
        <f>SUM('DOE25'!J196:J199)+SUM('DOE25'!J214:J217)+SUM('DOE25'!J232:J235)</f>
        <v>1504.92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44458.69</v>
      </c>
      <c r="D6" s="20">
        <f>'DOE25'!L201+'DOE25'!L219+'DOE25'!L237-F6-G6</f>
        <v>44458.69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7276.11</v>
      </c>
      <c r="D7" s="20">
        <f>'DOE25'!L202+'DOE25'!L220+'DOE25'!L238-F7-G7</f>
        <v>7276.11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52227.999999999985</v>
      </c>
      <c r="D8" s="243"/>
      <c r="E8" s="20">
        <f>'DOE25'!L203+'DOE25'!L221+'DOE25'!L239-F8-G8-D9-D11</f>
        <v>52211.999999999985</v>
      </c>
      <c r="F8" s="255">
        <f>'DOE25'!J203+'DOE25'!J221+'DOE25'!J239</f>
        <v>0</v>
      </c>
      <c r="G8" s="53">
        <f>'DOE25'!K203+'DOE25'!K221+'DOE25'!K239</f>
        <v>16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10986.69</v>
      </c>
      <c r="D9" s="244">
        <v>10986.69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5500</v>
      </c>
      <c r="D10" s="243"/>
      <c r="E10" s="244">
        <v>5500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18912</v>
      </c>
      <c r="D11" s="244">
        <v>18912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101184.82999999999</v>
      </c>
      <c r="D12" s="20">
        <f>'DOE25'!L204+'DOE25'!L222+'DOE25'!L240-F12-G12</f>
        <v>100734.84999999999</v>
      </c>
      <c r="E12" s="243"/>
      <c r="F12" s="255">
        <f>'DOE25'!J204+'DOE25'!J222+'DOE25'!J240</f>
        <v>449.98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45639.67</v>
      </c>
      <c r="D14" s="20">
        <f>'DOE25'!L206+'DOE25'!L224+'DOE25'!L242-F14-G14</f>
        <v>45639.67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123844.85</v>
      </c>
      <c r="D15" s="20">
        <f>'DOE25'!L207+'DOE25'!L225+'DOE25'!L243-F15-G15</f>
        <v>123844.85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257.5</v>
      </c>
      <c r="D16" s="243"/>
      <c r="E16" s="20">
        <f>'DOE25'!L208+'DOE25'!L226+'DOE25'!L244-F16-G16</f>
        <v>257.5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8845.35</v>
      </c>
      <c r="D29" s="20">
        <f>'DOE25'!L357+'DOE25'!L358+'DOE25'!L359-'DOE25'!I366-F29-G29</f>
        <v>8838.4700000000012</v>
      </c>
      <c r="E29" s="243"/>
      <c r="F29" s="255">
        <f>'DOE25'!J357+'DOE25'!J358+'DOE25'!J359</f>
        <v>6.88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38017.19</v>
      </c>
      <c r="D31" s="20">
        <f>'DOE25'!L289+'DOE25'!L308+'DOE25'!L327+'DOE25'!L332+'DOE25'!L333+'DOE25'!L334-F31-G31</f>
        <v>33040.180000000008</v>
      </c>
      <c r="E31" s="243"/>
      <c r="F31" s="255">
        <f>'DOE25'!J289+'DOE25'!J308+'DOE25'!J327+'DOE25'!J332+'DOE25'!J333+'DOE25'!J334</f>
        <v>4355.34</v>
      </c>
      <c r="G31" s="53">
        <f>'DOE25'!K289+'DOE25'!K308+'DOE25'!K327+'DOE25'!K332+'DOE25'!K333+'DOE25'!K334</f>
        <v>621.66999999999996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1600845.0599999998</v>
      </c>
      <c r="E33" s="246">
        <f>SUM(E5:E31)</f>
        <v>57969.499999999985</v>
      </c>
      <c r="F33" s="246">
        <f>SUM(F5:F31)</f>
        <v>6317.1200000000008</v>
      </c>
      <c r="G33" s="246">
        <f>SUM(G5:G31)</f>
        <v>637.66999999999996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57969.499999999985</v>
      </c>
      <c r="E35" s="249"/>
    </row>
    <row r="36" spans="2:8" ht="12" thickTop="1" x14ac:dyDescent="0.2">
      <c r="B36" t="s">
        <v>815</v>
      </c>
      <c r="D36" s="20">
        <f>D33</f>
        <v>1600845.0599999998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NELSON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31514.6</v>
      </c>
      <c r="D8" s="95">
        <f>'DOE25'!G9</f>
        <v>121.29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141536.67000000001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12651.03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1824.36</v>
      </c>
      <c r="D12" s="95">
        <f>'DOE25'!G13</f>
        <v>0</v>
      </c>
      <c r="E12" s="95">
        <f>'DOE25'!H13</f>
        <v>9238.08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3396.2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50436.189999999995</v>
      </c>
      <c r="D18" s="41">
        <f>SUM(D8:D17)</f>
        <v>121.29</v>
      </c>
      <c r="E18" s="41">
        <f>SUM(E8:E17)</f>
        <v>9238.08</v>
      </c>
      <c r="F18" s="41">
        <f>SUM(F8:F17)</f>
        <v>0</v>
      </c>
      <c r="G18" s="41">
        <f>SUM(G8:G17)</f>
        <v>141536.67000000001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12651.03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855.95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12593.33</v>
      </c>
      <c r="D23" s="95">
        <f>'DOE25'!G24</f>
        <v>0</v>
      </c>
      <c r="E23" s="95">
        <f>'DOE25'!H24</f>
        <v>30.84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2350.11</v>
      </c>
      <c r="D27" s="95">
        <f>'DOE25'!G28</f>
        <v>121.29</v>
      </c>
      <c r="E27" s="95">
        <f>'DOE25'!H28</f>
        <v>452.76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15799.390000000001</v>
      </c>
      <c r="D31" s="41">
        <f>SUM(D21:D30)</f>
        <v>121.29</v>
      </c>
      <c r="E31" s="41">
        <f>SUM(E21:E30)</f>
        <v>13134.630000000001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1050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-3896.55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33586.800000000003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141536.67000000001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34636.800000000003</v>
      </c>
      <c r="D49" s="41">
        <f>SUM(D34:D48)</f>
        <v>0</v>
      </c>
      <c r="E49" s="41">
        <f>SUM(E34:E48)</f>
        <v>-3896.55</v>
      </c>
      <c r="F49" s="41">
        <f>SUM(F34:F48)</f>
        <v>0</v>
      </c>
      <c r="G49" s="41">
        <f>SUM(G34:G48)</f>
        <v>141536.67000000001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50436.19</v>
      </c>
      <c r="D50" s="41">
        <f>D49+D31</f>
        <v>121.29</v>
      </c>
      <c r="E50" s="41">
        <f>E49+E31</f>
        <v>9238.0800000000017</v>
      </c>
      <c r="F50" s="41">
        <f>F49+F31</f>
        <v>0</v>
      </c>
      <c r="G50" s="41">
        <f>G49+G31</f>
        <v>141536.67000000001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1047365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2000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195.54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84.59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7286.65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7482.19</v>
      </c>
      <c r="D61" s="130">
        <f>SUM(D56:D60)</f>
        <v>0</v>
      </c>
      <c r="E61" s="130">
        <f>SUM(E56:E60)</f>
        <v>2000</v>
      </c>
      <c r="F61" s="130">
        <f>SUM(F56:F60)</f>
        <v>0</v>
      </c>
      <c r="G61" s="130">
        <f>SUM(G56:G60)</f>
        <v>84.59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1054847.19</v>
      </c>
      <c r="D62" s="22">
        <f>D55+D61</f>
        <v>0</v>
      </c>
      <c r="E62" s="22">
        <f>E55+E61</f>
        <v>2000</v>
      </c>
      <c r="F62" s="22">
        <f>F55+F61</f>
        <v>0</v>
      </c>
      <c r="G62" s="22">
        <f>G55+G61</f>
        <v>84.59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208686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286429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495115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51088.85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51088.85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546203.85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9981.59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18078.48</v>
      </c>
      <c r="D87" s="95">
        <f>SUM('DOE25'!G152:G160)</f>
        <v>0</v>
      </c>
      <c r="E87" s="95">
        <f>SUM('DOE25'!H152:H160)</f>
        <v>22139.05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18078.48</v>
      </c>
      <c r="D90" s="131">
        <f>SUM(D84:D89)</f>
        <v>0</v>
      </c>
      <c r="E90" s="131">
        <f>SUM(E84:E89)</f>
        <v>32120.639999999999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8845.35</v>
      </c>
      <c r="E95" s="95">
        <f>'DOE25'!H178</f>
        <v>0</v>
      </c>
      <c r="F95" s="95">
        <f>'DOE25'!I178</f>
        <v>0</v>
      </c>
      <c r="G95" s="95">
        <f>'DOE25'!J178</f>
        <v>40000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8845.35</v>
      </c>
      <c r="E102" s="86">
        <f>SUM(E92:E101)</f>
        <v>0</v>
      </c>
      <c r="F102" s="86">
        <f>SUM(F92:F101)</f>
        <v>0</v>
      </c>
      <c r="G102" s="86">
        <f>SUM(G92:G101)</f>
        <v>40000</v>
      </c>
    </row>
    <row r="103" spans="1:7" ht="12.75" thickTop="1" thickBot="1" x14ac:dyDescent="0.25">
      <c r="A103" s="33" t="s">
        <v>765</v>
      </c>
      <c r="C103" s="86">
        <f>C62+C80+C90+C102</f>
        <v>1619129.52</v>
      </c>
      <c r="D103" s="86">
        <f>D62+D80+D90+D102</f>
        <v>8845.35</v>
      </c>
      <c r="E103" s="86">
        <f>E62+E80+E90+E102</f>
        <v>34120.639999999999</v>
      </c>
      <c r="F103" s="86">
        <f>F62+F80+F90+F102</f>
        <v>0</v>
      </c>
      <c r="G103" s="86">
        <f>G62+G80+G102</f>
        <v>40084.589999999997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741127.2</v>
      </c>
      <c r="D108" s="24" t="s">
        <v>289</v>
      </c>
      <c r="E108" s="95">
        <f>('DOE25'!L275)+('DOE25'!L294)+('DOE25'!L313)</f>
        <v>25046.02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463855.91000000003</v>
      </c>
      <c r="D109" s="24" t="s">
        <v>289</v>
      </c>
      <c r="E109" s="95">
        <f>('DOE25'!L276)+('DOE25'!L295)+('DOE25'!L314)</f>
        <v>3450.2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3635.36</v>
      </c>
      <c r="D111" s="24" t="s">
        <v>289</v>
      </c>
      <c r="E111" s="95">
        <f>+('DOE25'!L278)+('DOE25'!L297)+('DOE25'!L316)</f>
        <v>1080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1208618.47</v>
      </c>
      <c r="D114" s="86">
        <f>SUM(D108:D113)</f>
        <v>0</v>
      </c>
      <c r="E114" s="86">
        <f>SUM(E108:E113)</f>
        <v>29576.22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44458.69</v>
      </c>
      <c r="D117" s="24" t="s">
        <v>289</v>
      </c>
      <c r="E117" s="95">
        <f>+('DOE25'!L280)+('DOE25'!L299)+('DOE25'!L318)</f>
        <v>28.69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7276.11</v>
      </c>
      <c r="D118" s="24" t="s">
        <v>289</v>
      </c>
      <c r="E118" s="95">
        <f>+('DOE25'!L281)+('DOE25'!L300)+('DOE25'!L319)</f>
        <v>6350.5700000000006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82126.689999999988</v>
      </c>
      <c r="D119" s="24" t="s">
        <v>289</v>
      </c>
      <c r="E119" s="95">
        <f>+('DOE25'!L282)+('DOE25'!L301)+('DOE25'!L320)</f>
        <v>1440.04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101184.82999999999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621.66999999999996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45639.67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123844.85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257.5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8845.35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404788.33999999997</v>
      </c>
      <c r="D127" s="86">
        <f>SUM(D117:D126)</f>
        <v>8845.35</v>
      </c>
      <c r="E127" s="86">
        <f>SUM(E117:E126)</f>
        <v>8440.9699999999993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8845.35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25027.45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15057.14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-84.589999999996508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48845.350000000006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1662252.1600000001</v>
      </c>
      <c r="D144" s="86">
        <f>(D114+D127+D143)</f>
        <v>8845.35</v>
      </c>
      <c r="E144" s="86">
        <f>(E114+E127+E143)</f>
        <v>38017.19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NELSON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27076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27076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766173</v>
      </c>
      <c r="D10" s="182">
        <f>ROUND((C10/$C$28)*100,1)</f>
        <v>46.1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467306</v>
      </c>
      <c r="D11" s="182">
        <f>ROUND((C11/$C$28)*100,1)</f>
        <v>28.1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4715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44487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13627</v>
      </c>
      <c r="D16" s="182">
        <f t="shared" si="0"/>
        <v>0.8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83824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101185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622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45640</v>
      </c>
      <c r="D20" s="182">
        <f t="shared" si="0"/>
        <v>2.7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123845</v>
      </c>
      <c r="D21" s="182">
        <f t="shared" si="0"/>
        <v>7.5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8845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1660269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1660269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1047365</v>
      </c>
      <c r="D35" s="182">
        <f t="shared" ref="D35:D40" si="1">ROUND((C35/$C$41)*100,1)</f>
        <v>63.3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9566.7800000000279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495115</v>
      </c>
      <c r="D37" s="182">
        <f t="shared" si="1"/>
        <v>29.9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51089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50199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1653334.78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NELSON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2013-08-28T18:51:20Z</cp:lastPrinted>
  <dcterms:created xsi:type="dcterms:W3CDTF">1997-12-04T19:04:30Z</dcterms:created>
  <dcterms:modified xsi:type="dcterms:W3CDTF">2013-09-06T16:39:40Z</dcterms:modified>
</cp:coreProperties>
</file>