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1" i="1" l="1"/>
  <c r="I591" i="1"/>
  <c r="H591" i="1"/>
  <c r="H574" i="1"/>
  <c r="G574" i="1"/>
  <c r="H540" i="1"/>
  <c r="H522" i="1"/>
  <c r="H521" i="1"/>
  <c r="K520" i="1"/>
  <c r="J520" i="1"/>
  <c r="I520" i="1"/>
  <c r="H520" i="1"/>
  <c r="G520" i="1"/>
  <c r="F520" i="1"/>
  <c r="I471" i="1"/>
  <c r="H471" i="1"/>
  <c r="G471" i="1"/>
  <c r="F471" i="1"/>
  <c r="I467" i="1"/>
  <c r="H467" i="1"/>
  <c r="F467" i="1"/>
  <c r="F367" i="1" l="1"/>
  <c r="I202" i="1" l="1"/>
  <c r="H154" i="1" l="1"/>
  <c r="H101" i="1"/>
  <c r="G96" i="1"/>
  <c r="F62" i="1"/>
  <c r="C37" i="10" l="1"/>
  <c r="F40" i="2" l="1"/>
  <c r="D39" i="2"/>
  <c r="G654" i="1"/>
  <c r="F47" i="2"/>
  <c r="E47" i="2"/>
  <c r="D47" i="2"/>
  <c r="C47" i="2"/>
  <c r="F46" i="2"/>
  <c r="F49" i="2" s="1"/>
  <c r="F50" i="2" s="1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C117" i="2" s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C122" i="2" s="1"/>
  <c r="L224" i="1"/>
  <c r="L242" i="1"/>
  <c r="F15" i="13"/>
  <c r="G15" i="13"/>
  <c r="L207" i="1"/>
  <c r="L225" i="1"/>
  <c r="L228" i="1" s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C13" i="10" s="1"/>
  <c r="L280" i="1"/>
  <c r="L281" i="1"/>
  <c r="L282" i="1"/>
  <c r="L283" i="1"/>
  <c r="L284" i="1"/>
  <c r="L285" i="1"/>
  <c r="L286" i="1"/>
  <c r="F661" i="1" s="1"/>
  <c r="L287" i="1"/>
  <c r="L294" i="1"/>
  <c r="E108" i="2" s="1"/>
  <c r="L295" i="1"/>
  <c r="C11" i="10" s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7" i="10"/>
  <c r="C19" i="10"/>
  <c r="L249" i="1"/>
  <c r="L331" i="1"/>
  <c r="C23" i="10" s="1"/>
  <c r="L253" i="1"/>
  <c r="C25" i="10"/>
  <c r="L267" i="1"/>
  <c r="L268" i="1"/>
  <c r="L348" i="1"/>
  <c r="L349" i="1"/>
  <c r="I664" i="1"/>
  <c r="I669" i="1"/>
  <c r="L246" i="1"/>
  <c r="G660" i="1"/>
  <c r="H660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1" i="2"/>
  <c r="C112" i="2"/>
  <c r="E112" i="2"/>
  <c r="C113" i="2"/>
  <c r="E113" i="2"/>
  <c r="D114" i="2"/>
  <c r="F114" i="2"/>
  <c r="G114" i="2"/>
  <c r="E117" i="2"/>
  <c r="E118" i="2"/>
  <c r="E119" i="2"/>
  <c r="C120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I256" i="1" s="1"/>
  <c r="I270" i="1" s="1"/>
  <c r="J210" i="1"/>
  <c r="J256" i="1" s="1"/>
  <c r="J270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G337" i="1" s="1"/>
  <c r="G351" i="1" s="1"/>
  <c r="H289" i="1"/>
  <c r="I289" i="1"/>
  <c r="F308" i="1"/>
  <c r="G308" i="1"/>
  <c r="H308" i="1"/>
  <c r="H337" i="1" s="1"/>
  <c r="H351" i="1" s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F469" i="1"/>
  <c r="H469" i="1"/>
  <c r="I469" i="1"/>
  <c r="J469" i="1"/>
  <c r="F473" i="1"/>
  <c r="G473" i="1"/>
  <c r="H473" i="1"/>
  <c r="H475" i="1" s="1"/>
  <c r="H623" i="1" s="1"/>
  <c r="J623" i="1" s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F570" i="1" s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9" i="1"/>
  <c r="G621" i="1"/>
  <c r="G622" i="1"/>
  <c r="G623" i="1"/>
  <c r="G624" i="1"/>
  <c r="H626" i="1"/>
  <c r="H628" i="1"/>
  <c r="H629" i="1"/>
  <c r="H630" i="1"/>
  <c r="H631" i="1"/>
  <c r="H632" i="1"/>
  <c r="G633" i="1"/>
  <c r="H634" i="1"/>
  <c r="H635" i="1"/>
  <c r="H636" i="1"/>
  <c r="H637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G163" i="2"/>
  <c r="G159" i="2"/>
  <c r="C18" i="2"/>
  <c r="F31" i="2"/>
  <c r="C26" i="10"/>
  <c r="L327" i="1"/>
  <c r="L350" i="1"/>
  <c r="A31" i="12"/>
  <c r="C69" i="2"/>
  <c r="A40" i="12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E50" i="2" s="1"/>
  <c r="C31" i="2"/>
  <c r="G61" i="2"/>
  <c r="D19" i="13"/>
  <c r="C19" i="13" s="1"/>
  <c r="E13" i="13"/>
  <c r="C13" i="13" s="1"/>
  <c r="E77" i="2"/>
  <c r="E80" i="2" s="1"/>
  <c r="L426" i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F475" i="1"/>
  <c r="H621" i="1" s="1"/>
  <c r="I475" i="1"/>
  <c r="H624" i="1" s="1"/>
  <c r="J624" i="1" s="1"/>
  <c r="F168" i="1"/>
  <c r="J139" i="1"/>
  <c r="I551" i="1"/>
  <c r="K549" i="1"/>
  <c r="G22" i="2"/>
  <c r="K544" i="1"/>
  <c r="J551" i="1"/>
  <c r="H551" i="1"/>
  <c r="C29" i="10"/>
  <c r="H139" i="1"/>
  <c r="L400" i="1"/>
  <c r="C138" i="2" s="1"/>
  <c r="L392" i="1"/>
  <c r="C137" i="2" s="1"/>
  <c r="F22" i="13"/>
  <c r="H25" i="13"/>
  <c r="C25" i="13" s="1"/>
  <c r="J639" i="1"/>
  <c r="H570" i="1"/>
  <c r="L559" i="1"/>
  <c r="J544" i="1"/>
  <c r="F337" i="1"/>
  <c r="F351" i="1" s="1"/>
  <c r="G191" i="1"/>
  <c r="H191" i="1"/>
  <c r="C35" i="10"/>
  <c r="L308" i="1"/>
  <c r="E16" i="13"/>
  <c r="J654" i="1"/>
  <c r="J644" i="1"/>
  <c r="L569" i="1"/>
  <c r="I570" i="1"/>
  <c r="I544" i="1"/>
  <c r="G36" i="2"/>
  <c r="L564" i="1"/>
  <c r="G544" i="1"/>
  <c r="H544" i="1"/>
  <c r="K550" i="1"/>
  <c r="C22" i="13"/>
  <c r="C16" i="13"/>
  <c r="H33" i="13"/>
  <c r="C49" i="2" l="1"/>
  <c r="J621" i="1"/>
  <c r="E18" i="2"/>
  <c r="J616" i="1"/>
  <c r="J638" i="1"/>
  <c r="C50" i="2"/>
  <c r="K597" i="1"/>
  <c r="G646" i="1" s="1"/>
  <c r="J648" i="1"/>
  <c r="F551" i="1"/>
  <c r="K548" i="1"/>
  <c r="K551" i="1" s="1"/>
  <c r="L523" i="1"/>
  <c r="L544" i="1" s="1"/>
  <c r="J635" i="1"/>
  <c r="I368" i="1"/>
  <c r="H633" i="1" s="1"/>
  <c r="J633" i="1" s="1"/>
  <c r="D29" i="13"/>
  <c r="C29" i="13" s="1"/>
  <c r="I660" i="1"/>
  <c r="L361" i="1"/>
  <c r="C27" i="10" s="1"/>
  <c r="D144" i="2"/>
  <c r="I661" i="1"/>
  <c r="E127" i="2"/>
  <c r="C16" i="10"/>
  <c r="E111" i="2"/>
  <c r="H659" i="1"/>
  <c r="H663" i="1" s="1"/>
  <c r="H666" i="1" s="1"/>
  <c r="H646" i="1"/>
  <c r="J646" i="1" s="1"/>
  <c r="C21" i="10"/>
  <c r="H256" i="1"/>
  <c r="H270" i="1" s="1"/>
  <c r="C109" i="2"/>
  <c r="E114" i="2"/>
  <c r="L289" i="1"/>
  <c r="L337" i="1" s="1"/>
  <c r="L351" i="1" s="1"/>
  <c r="G632" i="1" s="1"/>
  <c r="J632" i="1" s="1"/>
  <c r="C10" i="10"/>
  <c r="D14" i="13"/>
  <c r="C14" i="13" s="1"/>
  <c r="C20" i="10"/>
  <c r="D12" i="13"/>
  <c r="C12" i="13" s="1"/>
  <c r="C118" i="2"/>
  <c r="C127" i="2" s="1"/>
  <c r="D6" i="13"/>
  <c r="C6" i="13" s="1"/>
  <c r="C15" i="10"/>
  <c r="D5" i="13"/>
  <c r="C5" i="13" s="1"/>
  <c r="L210" i="1"/>
  <c r="L256" i="1" s="1"/>
  <c r="L270" i="1" s="1"/>
  <c r="G631" i="1" s="1"/>
  <c r="J631" i="1" s="1"/>
  <c r="C108" i="2"/>
  <c r="C114" i="2" s="1"/>
  <c r="C80" i="2"/>
  <c r="C103" i="2" s="1"/>
  <c r="E33" i="13"/>
  <c r="D35" i="13" s="1"/>
  <c r="C24" i="10"/>
  <c r="G659" i="1"/>
  <c r="G663" i="1" s="1"/>
  <c r="G666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G49" i="2"/>
  <c r="H647" i="1"/>
  <c r="J647" i="1" s="1"/>
  <c r="J651" i="1"/>
  <c r="J641" i="1"/>
  <c r="G570" i="1"/>
  <c r="I433" i="1"/>
  <c r="G433" i="1"/>
  <c r="E103" i="2"/>
  <c r="I662" i="1"/>
  <c r="G50" i="2" l="1"/>
  <c r="H645" i="1"/>
  <c r="H671" i="1"/>
  <c r="C6" i="10" s="1"/>
  <c r="G634" i="1"/>
  <c r="J634" i="1" s="1"/>
  <c r="E144" i="2"/>
  <c r="D31" i="13"/>
  <c r="C31" i="13" s="1"/>
  <c r="G671" i="1"/>
  <c r="C5" i="10" s="1"/>
  <c r="C28" i="10"/>
  <c r="D19" i="10" s="1"/>
  <c r="C144" i="2"/>
  <c r="F659" i="1"/>
  <c r="G630" i="1"/>
  <c r="J630" i="1" s="1"/>
  <c r="J645" i="1"/>
  <c r="G192" i="1"/>
  <c r="G625" i="1"/>
  <c r="J625" i="1" s="1"/>
  <c r="J51" i="1"/>
  <c r="H620" i="1" s="1"/>
  <c r="J620" i="1" s="1"/>
  <c r="C38" i="10"/>
  <c r="G627" i="1" l="1"/>
  <c r="G467" i="1"/>
  <c r="D33" i="13"/>
  <c r="D36" i="13" s="1"/>
  <c r="D21" i="10"/>
  <c r="D20" i="10"/>
  <c r="D13" i="10"/>
  <c r="D22" i="10"/>
  <c r="D26" i="10"/>
  <c r="D23" i="10"/>
  <c r="D11" i="10"/>
  <c r="C30" i="10"/>
  <c r="D24" i="10"/>
  <c r="D10" i="10"/>
  <c r="D15" i="10"/>
  <c r="D12" i="10"/>
  <c r="D27" i="10"/>
  <c r="D18" i="10"/>
  <c r="D17" i="10"/>
  <c r="D16" i="10"/>
  <c r="D25" i="10"/>
  <c r="F663" i="1"/>
  <c r="I659" i="1"/>
  <c r="I663" i="1" s="1"/>
  <c r="I671" i="1" s="1"/>
  <c r="C7" i="10" s="1"/>
  <c r="C41" i="10"/>
  <c r="D38" i="10" s="1"/>
  <c r="G469" i="1" l="1"/>
  <c r="G475" i="1" s="1"/>
  <c r="H622" i="1" s="1"/>
  <c r="H627" i="1"/>
  <c r="J627" i="1"/>
  <c r="D28" i="10"/>
  <c r="I666" i="1"/>
  <c r="F666" i="1"/>
  <c r="F671" i="1"/>
  <c r="C4" i="10" s="1"/>
  <c r="D37" i="10"/>
  <c r="D36" i="10"/>
  <c r="D35" i="10"/>
  <c r="D40" i="10"/>
  <c r="D39" i="10"/>
  <c r="J622" i="1" l="1"/>
  <c r="H655" i="1"/>
  <c r="D41" i="10"/>
  <c r="B13" i="12"/>
  <c r="A13" i="12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<sst xmlns="http://schemas.openxmlformats.org/spreadsheetml/2006/main" count="3948" uniqueCount="914">
  <si>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</si>
  <si>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</si>
  <si>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</si>
  <si>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</si>
  <si>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</si>
  <si>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</si>
  <si>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</si>
  <si>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</si>
  <si>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</si>
  <si>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</si>
  <si>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</si>
  <si>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</si>
  <si>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</si>
  <si>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</si>
  <si>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</si>
  <si>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</si>
  <si>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</si>
  <si>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</si>
  <si>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</si>
  <si>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</si>
  <si>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</si>
  <si>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</si>
  <si>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</si>
  <si>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</si>
  <si>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</si>
  <si>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</si>
  <si>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</si>
  <si>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</si>
  <si>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</si>
  <si>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</si>
  <si>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</si>
  <si>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</si>
  <si>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</si>
  <si>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</si>
  <si>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</si>
  <si>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</si>
  <si>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</si>
  <si>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</si>
  <si>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</si>
  <si>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</si>
  <si>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</si>
  <si>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</si>
  <si>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</si>
  <si>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</si>
  <si>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</si>
  <si>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</si>
  <si>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</si>
  <si>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</si>
  <si>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</si>
  <si>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</si>
  <si>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</si>
  <si>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</si>
  <si>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</si>
  <si>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</si>
  <si>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</si>
  <si>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</si>
  <si>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</si>
  <si>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</si>
  <si>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</si>
  <si>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</si>
  <si>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</si>
  <si>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</si>
  <si>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</si>
  <si>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</si>
  <si>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</si>
  <si>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</si>
  <si>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</si>
  <si>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</si>
  <si>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</si>
  <si>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</si>
  <si>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</si>
  <si>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</si>
  <si>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</si>
  <si>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</si>
  <si>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</si>
  <si>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</si>
  <si>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</si>
  <si>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</si>
  <si>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</si>
  <si>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</si>
  <si>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</si>
  <si>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</si>
  <si>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</si>
  <si>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</si>
  <si>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</si>
  <si>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</si>
  <si>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</si>
  <si>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</si>
  <si>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</si>
  <si>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</si>
  <si>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</si>
  <si>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</si>
  <si>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</si>
  <si>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</si>
  <si>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</si>
  <si>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</si>
  <si>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</si>
  <si>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</si>
  <si>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</si>
  <si>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</si>
  <si>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</si>
  <si>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</si>
  <si>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</si>
  <si>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</si>
  <si>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</si>
  <si>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</si>
  <si>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</si>
  <si>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</si>
  <si>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</si>
  <si>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</si>
  <si>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</si>
  <si>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</si>
  <si>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</si>
  <si>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</si>
  <si>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</si>
  <si>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</si>
  <si>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</si>
  <si>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</si>
  <si>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</si>
  <si>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</si>
  <si>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</si>
  <si>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</si>
  <si>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</si>
  <si>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</si>
  <si>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</si>
  <si>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</si>
  <si>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</si>
  <si>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</si>
  <si>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</si>
  <si>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</si>
  <si>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</si>
  <si>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</si>
  <si>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</si>
  <si>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</si>
  <si>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</si>
  <si>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</si>
  <si>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</si>
  <si>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</si>
  <si>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</si>
  <si>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</si>
  <si>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</si>
  <si>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</si>
  <si>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</si>
  <si>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</si>
  <si>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</si>
  <si>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</si>
  <si>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</si>
  <si>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</si>
  <si>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</si>
  <si>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</si>
  <si>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</si>
  <si>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</si>
  <si>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</si>
  <si>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</si>
  <si>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</si>
  <si>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</si>
  <si>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</si>
  <si>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</si>
  <si>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</si>
  <si>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</si>
  <si>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</si>
  <si>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</si>
  <si>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</si>
  <si>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</si>
  <si>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</si>
  <si>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</si>
  <si>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</si>
  <si>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</si>
  <si>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</si>
  <si>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</si>
  <si>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</si>
  <si>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</si>
  <si>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</si>
  <si>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</si>
  <si>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</si>
  <si>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</si>
  <si>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</si>
  <si>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</si>
  <si>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</si>
  <si>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</si>
  <si>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</si>
  <si>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</si>
  <si>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</si>
  <si>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</si>
  <si>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</si>
  <si>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</si>
  <si>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</si>
  <si>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</si>
  <si>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</si>
  <si>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</si>
  <si>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</si>
  <si>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</si>
  <si>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</si>
  <si>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</si>
  <si>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</si>
  <si>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</si>
  <si>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</si>
  <si>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</si>
  <si>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</si>
  <si>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</si>
  <si>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</si>
  <si>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</si>
  <si>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</si>
  <si>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</si>
  <si>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</si>
  <si>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</si>
  <si>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</si>
  <si>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</si>
  <si>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</si>
  <si>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</si>
  <si>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</si>
  <si>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</si>
  <si>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</si>
  <si>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</si>
  <si>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</si>
  <si>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</si>
  <si>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</si>
  <si>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</si>
  <si>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</si>
  <si>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</si>
  <si>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</si>
  <si>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</si>
  <si>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</si>
  <si>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</si>
  <si>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</si>
  <si>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</si>
  <si>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</si>
  <si>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</si>
  <si>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</si>
  <si>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</si>
  <si>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</si>
  <si>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</si>
  <si>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</si>
  <si>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</si>
  <si>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</si>
  <si>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</si>
  <si>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</si>
  <si>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</si>
  <si>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</si>
  <si>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</si>
  <si>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</si>
  <si>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</si>
  <si>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</si>
  <si>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</si>
  <si>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</si>
  <si>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</si>
  <si>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</si>
  <si>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</si>
  <si>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</si>
  <si>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</si>
  <si>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</si>
  <si>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</si>
  <si>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</si>
  <si>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</si>
  <si>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</si>
  <si>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</si>
  <si>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</si>
  <si>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</si>
  <si>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</si>
  <si>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</si>
  <si>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</si>
  <si>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</si>
  <si>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</si>
  <si>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</si>
  <si>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</si>
  <si>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</si>
  <si>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</si>
  <si>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</si>
  <si>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</si>
  <si>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</si>
  <si>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</si>
  <si>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</si>
  <si>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</si>
  <si>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</si>
  <si>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</si>
  <si>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</si>
  <si>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</si>
  <si>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</si>
  <si>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</si>
  <si>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</si>
  <si>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</si>
  <si>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</si>
  <si>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</si>
  <si>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</si>
  <si>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</si>
  <si>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</si>
  <si>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</si>
  <si>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</si>
  <si>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</si>
  <si>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</si>
  <si>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</si>
  <si>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</si>
  <si>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</si>
  <si>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</si>
  <si>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</si>
  <si>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</si>
  <si>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</si>
  <si>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</si>
  <si>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</si>
  <si>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</si>
  <si>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</si>
  <si>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</si>
  <si>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</si>
  <si>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</si>
  <si>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</si>
  <si>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</si>
  <si>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</si>
  <si>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</si>
  <si>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</si>
  <si>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</si>
  <si>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</si>
  <si>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</si>
  <si>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</si>
  <si>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</si>
  <si>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</si>
  <si>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</si>
  <si>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</si>
  <si>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</si>
  <si>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</si>
  <si>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</si>
  <si>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</si>
  <si>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</si>
  <si>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</si>
  <si>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</si>
  <si>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</si>
  <si>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</si>
  <si>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</si>
  <si>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</si>
  <si>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</si>
  <si>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</si>
  <si>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</si>
  <si>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</si>
  <si>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</si>
  <si>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</si>
  <si>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</si>
  <si>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</si>
  <si>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</si>
  <si>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</si>
  <si>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</si>
  <si>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</si>
  <si>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</si>
  <si>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</si>
  <si>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</si>
  <si>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</si>
  <si>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</si>
  <si>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</si>
  <si>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</si>
  <si>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</si>
  <si>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</si>
  <si>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</si>
  <si>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</si>
  <si>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</si>
  <si>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</si>
  <si>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</si>
  <si>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</si>
  <si>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</si>
  <si>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</si>
  <si>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</si>
  <si>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</si>
  <si>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</si>
  <si>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</si>
  <si>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</si>
  <si>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</si>
  <si>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</si>
  <si>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</si>
  <si>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</si>
  <si>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</si>
  <si>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</si>
  <si>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</si>
  <si>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</si>
  <si>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</si>
  <si>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</si>
  <si>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</si>
  <si>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</si>
  <si>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</si>
  <si>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</si>
  <si>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</si>
  <si>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</si>
  <si>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</si>
  <si>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</si>
  <si>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</si>
  <si>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</si>
  <si>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</si>
  <si>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</si>
  <si>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</si>
  <si>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</si>
  <si>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</si>
  <si>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</si>
  <si>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</si>
  <si>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</si>
  <si>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</si>
  <si>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</si>
  <si>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</si>
  <si>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</si>
  <si>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</si>
  <si>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</si>
  <si>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</si>
  <si>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</si>
  <si>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</si>
  <si>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</si>
  <si>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</si>
  <si>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</si>
  <si>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</si>
  <si>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</si>
  <si>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</si>
  <si>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</si>
  <si>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</si>
  <si>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</si>
  <si>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</si>
  <si>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</si>
  <si>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</si>
  <si>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</si>
  <si>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</si>
  <si>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</si>
  <si>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</si>
  <si>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</si>
  <si>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</si>
  <si>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</si>
  <si>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</si>
  <si>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</si>
  <si>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</si>
  <si>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</si>
  <si>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</si>
  <si>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</si>
  <si>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</si>
  <si>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</si>
  <si>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</si>
  <si>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</si>
  <si>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</si>
  <si>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</si>
  <si>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</si>
  <si>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</si>
  <si>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</si>
  <si>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</si>
  <si>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</si>
  <si>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</si>
  <si>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</si>
  <si>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</si>
  <si>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</si>
  <si>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</si>
  <si>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</si>
  <si>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</si>
  <si>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</si>
  <si>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</si>
  <si>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</si>
  <si>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</si>
  <si>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</si>
  <si>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</si>
  <si>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</si>
  <si>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</si>
  <si>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</si>
  <si>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</si>
  <si>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</si>
  <si>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</si>
  <si>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</si>
  <si>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</si>
  <si>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</si>
  <si>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</si>
  <si>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</si>
  <si>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</si>
  <si>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</si>
  <si>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</si>
  <si>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</si>
  <si>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</si>
  <si>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</si>
  <si>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</si>
  <si>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</si>
  <si>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</si>
  <si>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</si>
  <si>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</si>
  <si>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</si>
  <si>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</si>
  <si>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</si>
  <si>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</si>
  <si>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</si>
  <si>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</si>
  <si>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</si>
  <si>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</si>
  <si>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</si>
  <si>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</si>
  <si>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</si>
  <si>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</si>
  <si>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</si>
  <si>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</si>
  <si>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</si>
  <si>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</si>
  <si>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</si>
  <si>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</si>
  <si>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</si>
  <si>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</si>
  <si>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</si>
  <si>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</si>
  <si>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</si>
  <si>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</si>
  <si>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</si>
  <si>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</si>
  <si>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</si>
  <si>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</si>
  <si>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</si>
  <si>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</si>
  <si>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</si>
  <si>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</si>
  <si>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</si>
  <si>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</si>
  <si>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</si>
  <si>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</si>
  <si>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</si>
  <si>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</si>
  <si>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</si>
  <si>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</si>
  <si>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</si>
  <si>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</si>
  <si>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</si>
  <si>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</si>
  <si>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</si>
  <si>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</si>
  <si>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</si>
  <si>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</si>
  <si>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</si>
  <si>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</si>
  <si>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</si>
  <si>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</si>
  <si>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</si>
  <si>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</si>
  <si>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</si>
  <si>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</si>
  <si>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</si>
  <si>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</si>
  <si>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</si>
  <si>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</si>
  <si>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</si>
  <si>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</si>
  <si>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</si>
  <si>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</si>
  <si>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</si>
  <si>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</si>
  <si>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</si>
  <si>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</si>
  <si>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</si>
  <si>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</si>
  <si>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</si>
  <si>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</si>
  <si>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</si>
  <si>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</si>
  <si>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</si>
  <si>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</si>
  <si>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</si>
  <si>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</si>
  <si>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</si>
  <si>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</si>
  <si>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</si>
  <si>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</si>
  <si>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</si>
  <si>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</si>
  <si>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</si>
  <si>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</si>
  <si>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</si>
  <si>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</si>
  <si>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</si>
  <si>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</si>
  <si>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</si>
  <si>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</si>
  <si>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</si>
  <si>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</si>
  <si>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</si>
  <si>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</si>
  <si>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</si>
  <si>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</si>
  <si>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</si>
  <si>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</si>
  <si>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</si>
  <si>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</si>
  <si>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</si>
  <si>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</si>
  <si>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</si>
  <si>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</si>
  <si>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</si>
  <si>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</si>
  <si>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</si>
  <si>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</si>
  <si>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</si>
  <si>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</si>
  <si>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</si>
  <si>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</si>
  <si>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</si>
  <si>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</si>
  <si>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</si>
  <si>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</si>
  <si>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</si>
  <si>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</si>
  <si>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</si>
  <si>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</si>
  <si>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</si>
  <si>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</si>
  <si>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</si>
  <si>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</si>
  <si>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</si>
  <si>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</si>
  <si>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</si>
  <si>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</si>
  <si>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</si>
  <si>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</si>
  <si>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</si>
  <si>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</si>
  <si>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</si>
  <si>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</si>
  <si>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</si>
  <si>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</si>
  <si>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</si>
  <si>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</si>
  <si>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</si>
  <si>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</si>
  <si>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</si>
  <si>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</si>
  <si>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</si>
  <si>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</si>
  <si>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</si>
  <si>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</si>
  <si>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</si>
  <si>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</si>
  <si>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</si>
  <si>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</si>
  <si>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</si>
  <si>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</si>
  <si>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</si>
  <si>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</si>
  <si>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</si>
  <si>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</si>
  <si>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</si>
  <si>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</si>
  <si>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</si>
  <si>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</si>
  <si>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</si>
  <si>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</si>
  <si>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</si>
  <si>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</si>
  <si>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</si>
  <si>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</si>
  <si>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</si>
  <si>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</si>
  <si>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</si>
  <si>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</si>
  <si>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</si>
  <si>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</si>
  <si>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</si>
  <si>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</si>
  <si>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</si>
  <si>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</si>
  <si>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</si>
  <si>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</si>
  <si>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</si>
  <si>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</si>
  <si>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</si>
  <si>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</si>
  <si>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</si>
  <si>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</si>
  <si>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</si>
  <si>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</si>
  <si>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</si>
  <si>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</si>
  <si>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</si>
  <si>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</si>
  <si>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</si>
  <si>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</si>
  <si>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</si>
  <si>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</si>
  <si>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</si>
  <si>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</si>
  <si>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</si>
  <si>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</si>
  <si>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</si>
  <si>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</si>
  <si>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</si>
  <si>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</si>
  <si>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</si>
  <si>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</si>
  <si>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</si>
  <si>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</si>
  <si>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</si>
  <si>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</si>
  <si>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</si>
  <si>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</si>
  <si>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</si>
  <si>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</si>
  <si>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</si>
  <si>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</si>
  <si>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</si>
  <si>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</si>
  <si>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</si>
  <si>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</si>
  <si>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</si>
  <si>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</si>
  <si>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</si>
  <si>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</si>
  <si>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</si>
  <si>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</si>
  <si>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</si>
  <si>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</si>
  <si>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</si>
  <si>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</si>
  <si>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</si>
  <si>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</si>
  <si>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</si>
  <si>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</si>
  <si>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</si>
  <si>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</si>
  <si>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</si>
  <si>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</si>
  <si>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</si>
  <si>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</si>
  <si>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</si>
  <si>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</si>
  <si>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</si>
  <si>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</si>
  <si>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</si>
  <si>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</si>
  <si>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</si>
  <si>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</si>
  <si>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</si>
  <si>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</si>
  <si>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</si>
  <si>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</si>
  <si>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</si>
  <si>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</si>
  <si>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</si>
  <si>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</si>
  <si>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</si>
  <si>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</si>
  <si>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</si>
  <si>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</si>
  <si>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</si>
  <si>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</si>
  <si>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</si>
  <si>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</si>
  <si>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</si>
  <si>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</si>
  <si>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</si>
  <si>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</si>
  <si>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</si>
  <si>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</si>
  <si>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</si>
  <si>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</si>
  <si>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</si>
  <si>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</si>
  <si>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</si>
  <si>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</si>
  <si>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</si>
  <si>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</si>
  <si>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</si>
  <si>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</si>
  <si>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</si>
  <si>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</si>
  <si>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</si>
  <si>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</si>
  <si>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</si>
  <si>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</si>
  <si>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</si>
  <si>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</si>
  <si>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</si>
  <si>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</si>
  <si>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</si>
  <si>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</si>
  <si>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</si>
  <si>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</si>
  <si>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</si>
  <si>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</si>
  <si>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</si>
  <si>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</si>
  <si>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</si>
  <si>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</si>
  <si>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</si>
  <si>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</si>
  <si>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</si>
  <si>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</si>
  <si>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</si>
  <si>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</si>
  <si>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</si>
  <si>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</si>
  <si>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</si>
  <si>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</si>
  <si>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</si>
  <si>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</si>
  <si>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</si>
  <si>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</si>
  <si>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</si>
  <si>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</si>
  <si>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</si>
  <si>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</si>
  <si>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</si>
  <si>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</si>
  <si>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</si>
  <si>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</si>
  <si>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</si>
  <si>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</si>
  <si>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</si>
  <si>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</si>
  <si>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</si>
  <si>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</si>
  <si>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</si>
  <si>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</si>
  <si>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</si>
  <si>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</si>
  <si>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</si>
  <si>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</si>
  <si>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</si>
  <si>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</si>
  <si>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</si>
  <si>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</si>
  <si>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</si>
  <si>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</si>
  <si>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</si>
  <si>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</si>
  <si>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</si>
  <si>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</si>
  <si>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</si>
  <si>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</si>
  <si>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</si>
  <si>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</si>
  <si>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</si>
  <si>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</si>
  <si>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</si>
  <si>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</si>
  <si>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</si>
  <si>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</si>
  <si>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</si>
  <si>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</si>
  <si>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</si>
  <si>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</si>
  <si>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</si>
  <si>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</si>
  <si>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</si>
  <si>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</si>
  <si>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</si>
  <si>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</si>
  <si>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</si>
  <si>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</si>
  <si>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</si>
  <si>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</si>
  <si>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</si>
  <si>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</si>
  <si>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</si>
  <si>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</si>
  <si>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</si>
  <si>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</si>
  <si>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</si>
  <si>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</si>
  <si>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</si>
  <si>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</si>
  <si>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</si>
  <si>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</si>
  <si>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</si>
  <si>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</si>
  <si>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</si>
  <si>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</si>
  <si>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</si>
  <si>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</si>
  <si>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</si>
  <si>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</si>
  <si>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</si>
  <si>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</si>
  <si>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</si>
  <si>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</si>
  <si>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</si>
  <si>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</si>
  <si>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</si>
  <si>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</si>
  <si>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</si>
  <si>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</si>
  <si>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</si>
  <si>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</si>
  <si>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</si>
  <si>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</si>
  <si>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</si>
  <si>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</si>
  <si>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</si>
  <si>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</si>
  <si>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</si>
  <si>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</si>
  <si>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</si>
  <si>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</si>
  <si>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</si>
  <si>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</si>
  <si>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</si>
  <si>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</si>
  <si>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</si>
  <si>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</si>
  <si>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</si>
  <si>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</si>
  <si>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</si>
  <si>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</si>
  <si>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</si>
  <si>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</si>
  <si>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</si>
  <si>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</si>
  <si>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</si>
  <si>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</si>
  <si>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</si>
  <si>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</si>
  <si>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</si>
  <si>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</si>
  <si>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</si>
  <si>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</si>
  <si>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</si>
  <si>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</si>
  <si>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</si>
  <si>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</si>
  <si>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</si>
  <si>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</si>
  <si>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</si>
  <si>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New Boston</t>
  </si>
  <si>
    <t>Moved child nutrition revenure received from the state  from line 5-11 (10/1/13)</t>
  </si>
  <si>
    <t>State portion of child nutrition moved to line 4-15  (10/1/13)</t>
  </si>
  <si>
    <t>Postiing moved from purchased services to Fund Transfer column (10/1/13)</t>
  </si>
  <si>
    <t>In accordance with DRA Request, moved $100,376 to Amounts Voted from the encubrance reserve line, 1-48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</si>
</sst>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F48" sqref="F48:F4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377</v>
      </c>
      <c r="C2" s="21">
        <v>377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999755.14</v>
      </c>
      <c r="G9" s="18">
        <v>9892.4</v>
      </c>
      <c r="H9" s="18">
        <v>775.56</v>
      </c>
      <c r="I9" s="18">
        <v>15294.57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220000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2176.79</v>
      </c>
      <c r="H13" s="18">
        <v>6951.08</v>
      </c>
      <c r="I13" s="18"/>
      <c r="J13" s="67">
        <f>SUM(I441)</f>
        <v>120000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4297.7700000000004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9523.39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1013576.3</v>
      </c>
      <c r="G19" s="41">
        <f>SUM(G9:G18)</f>
        <v>12069.189999999999</v>
      </c>
      <c r="H19" s="41">
        <f>SUM(H9:H18)</f>
        <v>7726.6399999999994</v>
      </c>
      <c r="I19" s="41">
        <f>SUM(I9:I18)</f>
        <v>15294.57</v>
      </c>
      <c r="J19" s="41">
        <f>SUM(J9:J18)</f>
        <v>340000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126660.06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430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56743.5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7296.64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56743.5</v>
      </c>
      <c r="G32" s="41">
        <f>SUM(G22:G31)</f>
        <v>0</v>
      </c>
      <c r="H32" s="41">
        <f>SUM(H22:H31)</f>
        <v>7726.64</v>
      </c>
      <c r="I32" s="41">
        <f>SUM(I22:I31)</f>
        <v>0</v>
      </c>
      <c r="J32" s="41">
        <f>SUM(J22:J31)</f>
        <v>126660.06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4297.7700000000004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9523.39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100376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12069.19</v>
      </c>
      <c r="H47" s="18"/>
      <c r="I47" s="18">
        <v>15294.57</v>
      </c>
      <c r="J47" s="13">
        <f>SUM(I458)</f>
        <v>213339.94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224873.71999999997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617761.91999999993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956832.79999999993</v>
      </c>
      <c r="G50" s="41">
        <f>SUM(G35:G49)</f>
        <v>12069.19</v>
      </c>
      <c r="H50" s="41">
        <f>SUM(H35:H49)</f>
        <v>0</v>
      </c>
      <c r="I50" s="41">
        <f>SUM(I35:I49)</f>
        <v>15294.57</v>
      </c>
      <c r="J50" s="41">
        <f>SUM(J35:J49)</f>
        <v>213339.94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1013576.2999999999</v>
      </c>
      <c r="G51" s="41">
        <f>G50+G32</f>
        <v>12069.19</v>
      </c>
      <c r="H51" s="41">
        <f>H50+H32</f>
        <v>7726.64</v>
      </c>
      <c r="I51" s="41">
        <f>I50+I32</f>
        <v>15294.57</v>
      </c>
      <c r="J51" s="41">
        <f>J50+J32</f>
        <v>340000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7491460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7491460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5130</f>
        <v>5130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1176.54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6306.54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1987.04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66351.9+7475.1+2368.75+23838.03</f>
        <v>100033.78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f>330.22+3241</f>
        <v>3571.2200000000003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1706.05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3693.09</v>
      </c>
      <c r="G110" s="41">
        <f>SUM(G95:G109)</f>
        <v>100033.78</v>
      </c>
      <c r="H110" s="41">
        <f>SUM(H95:H109)</f>
        <v>3571.2200000000003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7501459.6299999999</v>
      </c>
      <c r="G111" s="41">
        <f>G59+G110</f>
        <v>100033.78</v>
      </c>
      <c r="H111" s="41">
        <f>H59+H78+H93+H110</f>
        <v>3571.2200000000003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2218216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1318501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3536717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60539.519999999997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1850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>
        <v>383.97</v>
      </c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60539.519999999997</v>
      </c>
      <c r="G135" s="41">
        <f>SUM(G122:G134)</f>
        <v>1850</v>
      </c>
      <c r="H135" s="41">
        <f>SUM(H122:H134)</f>
        <v>383.97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3597256.52</v>
      </c>
      <c r="G139" s="41">
        <f>G120+SUM(G135:G136)</f>
        <v>1850</v>
      </c>
      <c r="H139" s="41">
        <f>H120+SUM(H135:H138)</f>
        <v>383.97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-383.97+29372.18</f>
        <v>28988.21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17829.43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74356.03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74356.03</v>
      </c>
      <c r="G161" s="41">
        <f>SUM(G149:G160)</f>
        <v>17829.43</v>
      </c>
      <c r="H161" s="41">
        <f>SUM(H149:H160)</f>
        <v>28988.21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12238.18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74356.03</v>
      </c>
      <c r="G168" s="41">
        <f>G146+G161+SUM(G162:G167)</f>
        <v>30067.61</v>
      </c>
      <c r="H168" s="41">
        <f>H146+H161+SUM(H162:H167)</f>
        <v>28988.21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126660.06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126660.06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126660.06</v>
      </c>
      <c r="J191" s="41">
        <f>J182</f>
        <v>120000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11173072.18</v>
      </c>
      <c r="G192" s="47">
        <f>G111+G139+G168+G191</f>
        <v>131951.39000000001</v>
      </c>
      <c r="H192" s="47">
        <f>H111+H139+H168+H191</f>
        <v>32943.4</v>
      </c>
      <c r="I192" s="47">
        <f>I111+I139+I168+I191</f>
        <v>126660.06</v>
      </c>
      <c r="J192" s="47">
        <f>J111+J139+J191</f>
        <v>120000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1804339.25</v>
      </c>
      <c r="G196" s="18">
        <v>841292.94</v>
      </c>
      <c r="H196" s="18">
        <v>22938.03</v>
      </c>
      <c r="I196" s="18">
        <v>195636.51</v>
      </c>
      <c r="J196" s="18">
        <v>61004.88</v>
      </c>
      <c r="K196" s="18">
        <v>198</v>
      </c>
      <c r="L196" s="19">
        <f>SUM(F196:K196)</f>
        <v>2925409.6099999994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663660.39</v>
      </c>
      <c r="G197" s="18">
        <v>386878.19</v>
      </c>
      <c r="H197" s="18">
        <v>16782.580000000002</v>
      </c>
      <c r="I197" s="18">
        <v>3328.23</v>
      </c>
      <c r="J197" s="18">
        <v>3139.59</v>
      </c>
      <c r="K197" s="18"/>
      <c r="L197" s="19">
        <f>SUM(F197:K197)</f>
        <v>1073788.9800000002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35188</v>
      </c>
      <c r="G199" s="18">
        <v>6085.74</v>
      </c>
      <c r="H199" s="18"/>
      <c r="I199" s="18"/>
      <c r="J199" s="18"/>
      <c r="K199" s="18"/>
      <c r="L199" s="19">
        <f>SUM(F199:K199)</f>
        <v>41273.74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261564.17</v>
      </c>
      <c r="G201" s="18">
        <v>113026.21</v>
      </c>
      <c r="H201" s="18">
        <v>51580.81</v>
      </c>
      <c r="I201" s="18">
        <v>2807.59</v>
      </c>
      <c r="J201" s="18">
        <v>350</v>
      </c>
      <c r="K201" s="18"/>
      <c r="L201" s="19">
        <f t="shared" ref="L201:L207" si="0">SUM(F201:K201)</f>
        <v>429328.78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78506.45</v>
      </c>
      <c r="G202" s="18">
        <v>35107.910000000003</v>
      </c>
      <c r="H202" s="18">
        <v>9681.5300000000007</v>
      </c>
      <c r="I202" s="18">
        <f>17913.45+180</f>
        <v>18093.45</v>
      </c>
      <c r="J202" s="18">
        <v>214.99</v>
      </c>
      <c r="K202" s="18"/>
      <c r="L202" s="19">
        <f t="shared" si="0"/>
        <v>141604.32999999999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4793.33</v>
      </c>
      <c r="G203" s="18">
        <v>449.19</v>
      </c>
      <c r="H203" s="18">
        <v>313724.89</v>
      </c>
      <c r="I203" s="18">
        <v>683.99</v>
      </c>
      <c r="J203" s="18">
        <v>3805.09</v>
      </c>
      <c r="K203" s="18"/>
      <c r="L203" s="19">
        <f t="shared" si="0"/>
        <v>323456.49000000005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304449.28000000003</v>
      </c>
      <c r="G204" s="18">
        <v>109085.81</v>
      </c>
      <c r="H204" s="18">
        <v>10278.81</v>
      </c>
      <c r="I204" s="18"/>
      <c r="J204" s="18"/>
      <c r="K204" s="18"/>
      <c r="L204" s="19">
        <f t="shared" si="0"/>
        <v>423813.9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170206.26</v>
      </c>
      <c r="G206" s="18">
        <v>49183.7</v>
      </c>
      <c r="H206" s="18">
        <v>90899.44</v>
      </c>
      <c r="I206" s="18">
        <v>159149.09</v>
      </c>
      <c r="J206" s="18"/>
      <c r="K206" s="18"/>
      <c r="L206" s="19">
        <f t="shared" si="0"/>
        <v>469438.49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507206.2</v>
      </c>
      <c r="I207" s="18"/>
      <c r="J207" s="18"/>
      <c r="K207" s="18"/>
      <c r="L207" s="19">
        <f t="shared" si="0"/>
        <v>507206.2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3322707.13</v>
      </c>
      <c r="G210" s="41">
        <f t="shared" si="1"/>
        <v>1541109.6899999997</v>
      </c>
      <c r="H210" s="41">
        <f t="shared" si="1"/>
        <v>1023092.29</v>
      </c>
      <c r="I210" s="41">
        <f t="shared" si="1"/>
        <v>379698.86</v>
      </c>
      <c r="J210" s="41">
        <f t="shared" si="1"/>
        <v>68514.55</v>
      </c>
      <c r="K210" s="41">
        <f t="shared" si="1"/>
        <v>198</v>
      </c>
      <c r="L210" s="41">
        <f t="shared" si="1"/>
        <v>6335320.5200000014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1510832.12</v>
      </c>
      <c r="I214" s="18"/>
      <c r="J214" s="18"/>
      <c r="K214" s="18"/>
      <c r="L214" s="19">
        <f>SUM(F214:K214)</f>
        <v>1510832.12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83176</v>
      </c>
      <c r="I215" s="18"/>
      <c r="J215" s="18"/>
      <c r="K215" s="18"/>
      <c r="L215" s="19">
        <f>SUM(F215:K215)</f>
        <v>83176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23584.87</v>
      </c>
      <c r="I225" s="18"/>
      <c r="J225" s="18"/>
      <c r="K225" s="18"/>
      <c r="L225" s="19">
        <f t="shared" si="2"/>
        <v>23584.87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1617592.9900000002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1617592.9900000002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3025198.7</v>
      </c>
      <c r="I232" s="18"/>
      <c r="J232" s="18"/>
      <c r="K232" s="18"/>
      <c r="L232" s="19">
        <f>SUM(F232:K232)</f>
        <v>3025198.7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205309.17</v>
      </c>
      <c r="I233" s="18"/>
      <c r="J233" s="18"/>
      <c r="K233" s="18"/>
      <c r="L233" s="19">
        <f>SUM(F233:K233)</f>
        <v>205309.17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60000</v>
      </c>
      <c r="I243" s="18"/>
      <c r="J243" s="18"/>
      <c r="K243" s="18"/>
      <c r="L243" s="19">
        <f t="shared" si="4"/>
        <v>60000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3290507.87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3290507.87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3322707.13</v>
      </c>
      <c r="G256" s="41">
        <f t="shared" si="8"/>
        <v>1541109.6899999997</v>
      </c>
      <c r="H256" s="41">
        <f t="shared" si="8"/>
        <v>5931193.1500000004</v>
      </c>
      <c r="I256" s="41">
        <f t="shared" si="8"/>
        <v>379698.86</v>
      </c>
      <c r="J256" s="41">
        <f t="shared" si="8"/>
        <v>68514.55</v>
      </c>
      <c r="K256" s="41">
        <f t="shared" si="8"/>
        <v>198</v>
      </c>
      <c r="L256" s="41">
        <f t="shared" si="8"/>
        <v>11243421.380000003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120000</v>
      </c>
      <c r="L265" s="19">
        <f t="shared" si="9"/>
        <v>120000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120000</v>
      </c>
      <c r="L269" s="41">
        <f t="shared" si="9"/>
        <v>120000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3322707.13</v>
      </c>
      <c r="G270" s="42">
        <f t="shared" si="11"/>
        <v>1541109.6899999997</v>
      </c>
      <c r="H270" s="42">
        <f t="shared" si="11"/>
        <v>5931193.1500000004</v>
      </c>
      <c r="I270" s="42">
        <f t="shared" si="11"/>
        <v>379698.86</v>
      </c>
      <c r="J270" s="42">
        <f t="shared" si="11"/>
        <v>68514.55</v>
      </c>
      <c r="K270" s="42">
        <f t="shared" si="11"/>
        <v>120198</v>
      </c>
      <c r="L270" s="42">
        <f t="shared" si="11"/>
        <v>11363421.380000003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400</v>
      </c>
      <c r="I275" s="18"/>
      <c r="J275" s="18"/>
      <c r="K275" s="18"/>
      <c r="L275" s="19">
        <f>SUM(F275:K275)</f>
        <v>400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24847.27</v>
      </c>
      <c r="G276" s="18">
        <v>4243.13</v>
      </c>
      <c r="H276" s="18"/>
      <c r="I276" s="18"/>
      <c r="J276" s="18"/>
      <c r="K276" s="18"/>
      <c r="L276" s="19">
        <f>SUM(F276:K276)</f>
        <v>29090.400000000001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4450</v>
      </c>
      <c r="G278" s="18">
        <v>843.28</v>
      </c>
      <c r="H278" s="18"/>
      <c r="I278" s="18"/>
      <c r="J278" s="18"/>
      <c r="K278" s="18"/>
      <c r="L278" s="19">
        <f>SUM(F278:K278)</f>
        <v>5293.28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>
        <v>-1102.7</v>
      </c>
      <c r="H280" s="18"/>
      <c r="I280" s="18"/>
      <c r="J280" s="18"/>
      <c r="K280" s="18"/>
      <c r="L280" s="19">
        <f t="shared" ref="L280:L286" si="12">SUM(F280:K280)</f>
        <v>-1102.7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100</v>
      </c>
      <c r="G281" s="18">
        <v>12.05</v>
      </c>
      <c r="H281" s="18">
        <v>6155</v>
      </c>
      <c r="I281" s="18"/>
      <c r="J281" s="18"/>
      <c r="K281" s="18"/>
      <c r="L281" s="19">
        <f t="shared" si="12"/>
        <v>6267.05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839.34</v>
      </c>
      <c r="L284" s="19">
        <f t="shared" si="12"/>
        <v>839.34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29397.27</v>
      </c>
      <c r="G289" s="42">
        <f t="shared" si="13"/>
        <v>3995.76</v>
      </c>
      <c r="H289" s="42">
        <f t="shared" si="13"/>
        <v>6555</v>
      </c>
      <c r="I289" s="42">
        <f t="shared" si="13"/>
        <v>0</v>
      </c>
      <c r="J289" s="42">
        <f t="shared" si="13"/>
        <v>0</v>
      </c>
      <c r="K289" s="42">
        <f t="shared" si="13"/>
        <v>839.34</v>
      </c>
      <c r="L289" s="41">
        <f t="shared" si="13"/>
        <v>40787.370000000003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29397.27</v>
      </c>
      <c r="G337" s="41">
        <f t="shared" si="20"/>
        <v>3995.76</v>
      </c>
      <c r="H337" s="41">
        <f t="shared" si="20"/>
        <v>6555</v>
      </c>
      <c r="I337" s="41">
        <f t="shared" si="20"/>
        <v>0</v>
      </c>
      <c r="J337" s="41">
        <f t="shared" si="20"/>
        <v>0</v>
      </c>
      <c r="K337" s="41">
        <f t="shared" si="20"/>
        <v>839.34</v>
      </c>
      <c r="L337" s="41">
        <f t="shared" si="20"/>
        <v>40787.370000000003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29397.27</v>
      </c>
      <c r="G351" s="41">
        <f>G337</f>
        <v>3995.76</v>
      </c>
      <c r="H351" s="41">
        <f>H337</f>
        <v>6555</v>
      </c>
      <c r="I351" s="41">
        <f>I337</f>
        <v>0</v>
      </c>
      <c r="J351" s="41">
        <f>J337</f>
        <v>0</v>
      </c>
      <c r="K351" s="47">
        <f>K337+K350</f>
        <v>839.34</v>
      </c>
      <c r="L351" s="41">
        <f>L337+L350</f>
        <v>40787.370000000003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48446.76</v>
      </c>
      <c r="G357" s="18">
        <v>6608.87</v>
      </c>
      <c r="H357" s="18">
        <v>1825.26</v>
      </c>
      <c r="I357" s="18">
        <v>71716.63</v>
      </c>
      <c r="J357" s="18">
        <v>1303</v>
      </c>
      <c r="K357" s="18">
        <v>672.68</v>
      </c>
      <c r="L357" s="13">
        <f>SUM(F357:K357)</f>
        <v>130573.20000000001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48446.76</v>
      </c>
      <c r="G361" s="47">
        <f t="shared" si="22"/>
        <v>6608.87</v>
      </c>
      <c r="H361" s="47">
        <f t="shared" si="22"/>
        <v>1825.26</v>
      </c>
      <c r="I361" s="47">
        <f t="shared" si="22"/>
        <v>71716.63</v>
      </c>
      <c r="J361" s="47">
        <f t="shared" si="22"/>
        <v>1303</v>
      </c>
      <c r="K361" s="47">
        <f t="shared" si="22"/>
        <v>672.68</v>
      </c>
      <c r="L361" s="47">
        <f t="shared" si="22"/>
        <v>130573.20000000001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66237.679999999993</v>
      </c>
      <c r="G366" s="18"/>
      <c r="H366" s="18"/>
      <c r="I366" s="56">
        <f>SUM(F366:H366)</f>
        <v>66237.679999999993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I357-F366</f>
        <v>5478.9500000000116</v>
      </c>
      <c r="G367" s="63"/>
      <c r="H367" s="63"/>
      <c r="I367" s="56">
        <f>SUM(F367:H367)</f>
        <v>5478.9500000000116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71716.63</v>
      </c>
      <c r="G368" s="47">
        <f>SUM(G366:G367)</f>
        <v>0</v>
      </c>
      <c r="H368" s="47">
        <f>SUM(H366:H367)</f>
        <v>0</v>
      </c>
      <c r="I368" s="47">
        <f>SUM(I366:I367)</f>
        <v>71716.63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>
        <v>126670.06</v>
      </c>
      <c r="I375" s="18"/>
      <c r="J375" s="18"/>
      <c r="K375" s="18"/>
      <c r="L375" s="13">
        <f t="shared" si="23"/>
        <v>126670.06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126670.06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126670.06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100000</v>
      </c>
      <c r="H387" s="18"/>
      <c r="I387" s="18"/>
      <c r="J387" s="24" t="s">
        <v>289</v>
      </c>
      <c r="K387" s="24" t="s">
        <v>289</v>
      </c>
      <c r="L387" s="56">
        <f t="shared" si="25"/>
        <v>100000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100000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/>
      <c r="I396" s="18"/>
      <c r="J396" s="24" t="s">
        <v>289</v>
      </c>
      <c r="K396" s="24" t="s">
        <v>289</v>
      </c>
      <c r="L396" s="56">
        <f t="shared" si="26"/>
        <v>20000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20000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120000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>
        <v>126660.06</v>
      </c>
      <c r="L421" s="56">
        <f t="shared" si="29"/>
        <v>126660.06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126660.06</v>
      </c>
      <c r="L426" s="47">
        <f t="shared" si="30"/>
        <v>126660.06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126660.06</v>
      </c>
      <c r="L433" s="47">
        <f t="shared" si="32"/>
        <v>126660.06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220000</v>
      </c>
      <c r="G439" s="18"/>
      <c r="H439" s="18"/>
      <c r="I439" s="56">
        <f t="shared" si="33"/>
        <v>220000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120000</v>
      </c>
      <c r="G441" s="18"/>
      <c r="H441" s="18"/>
      <c r="I441" s="56">
        <f t="shared" si="33"/>
        <v>120000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340000</v>
      </c>
      <c r="G445" s="13">
        <f>SUM(G438:G444)</f>
        <v>0</v>
      </c>
      <c r="H445" s="13">
        <f>SUM(H438:H444)</f>
        <v>0</v>
      </c>
      <c r="I445" s="13">
        <f>SUM(I438:I444)</f>
        <v>340000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126660.06</v>
      </c>
      <c r="G447" s="18"/>
      <c r="H447" s="18"/>
      <c r="I447" s="56">
        <f>SUM(F447:H447)</f>
        <v>126660.06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126660.06</v>
      </c>
      <c r="G451" s="72">
        <f>SUM(G447:G450)</f>
        <v>0</v>
      </c>
      <c r="H451" s="72">
        <f>SUM(H447:H450)</f>
        <v>0</v>
      </c>
      <c r="I451" s="72">
        <f>SUM(I447:I450)</f>
        <v>126660.06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213339.94</v>
      </c>
      <c r="G458" s="18"/>
      <c r="H458" s="18"/>
      <c r="I458" s="56">
        <f t="shared" si="34"/>
        <v>213339.94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213339.94</v>
      </c>
      <c r="G459" s="83">
        <f>SUM(G453:G458)</f>
        <v>0</v>
      </c>
      <c r="H459" s="83">
        <f>SUM(H453:H458)</f>
        <v>0</v>
      </c>
      <c r="I459" s="83">
        <f>SUM(I453:I458)</f>
        <v>213339.94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340000</v>
      </c>
      <c r="G460" s="42">
        <f>G451+G459</f>
        <v>0</v>
      </c>
      <c r="H460" s="42">
        <f>H451+H459</f>
        <v>0</v>
      </c>
      <c r="I460" s="42">
        <f>I451+I459</f>
        <v>340000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1147182</v>
      </c>
      <c r="G464" s="18">
        <v>10691</v>
      </c>
      <c r="H464" s="18">
        <v>7843.97</v>
      </c>
      <c r="I464" s="18">
        <v>15304.57</v>
      </c>
      <c r="J464" s="18">
        <v>220000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11173072.18</v>
      </c>
      <c r="G467" s="18">
        <f>G192</f>
        <v>131951.39000000001</v>
      </c>
      <c r="H467" s="18">
        <f>H192</f>
        <v>32943.4</v>
      </c>
      <c r="I467" s="18">
        <f>I192</f>
        <v>126660.06</v>
      </c>
      <c r="J467" s="18">
        <v>120000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11173072.18</v>
      </c>
      <c r="G469" s="53">
        <f>SUM(G467:G468)</f>
        <v>131951.39000000001</v>
      </c>
      <c r="H469" s="53">
        <f>SUM(H467:H468)</f>
        <v>32943.4</v>
      </c>
      <c r="I469" s="53">
        <f>SUM(I467:I468)</f>
        <v>126660.06</v>
      </c>
      <c r="J469" s="53">
        <f>SUM(J467:J468)</f>
        <v>120000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11363421.380000003</v>
      </c>
      <c r="G471" s="18">
        <f>L361</f>
        <v>130573.20000000001</v>
      </c>
      <c r="H471" s="18">
        <f>L351</f>
        <v>40787.370000000003</v>
      </c>
      <c r="I471" s="18">
        <f>L381</f>
        <v>126670.06</v>
      </c>
      <c r="J471" s="18">
        <v>126660.06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11363421.380000003</v>
      </c>
      <c r="G473" s="53">
        <f>SUM(G471:G472)</f>
        <v>130573.20000000001</v>
      </c>
      <c r="H473" s="53">
        <f>SUM(H471:H472)</f>
        <v>40787.370000000003</v>
      </c>
      <c r="I473" s="53">
        <f>SUM(I471:I472)</f>
        <v>126670.06</v>
      </c>
      <c r="J473" s="53">
        <f>SUM(J471:J472)</f>
        <v>126660.06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956832.79999999702</v>
      </c>
      <c r="G475" s="53">
        <f>(G464+G469)- G473</f>
        <v>12069.190000000002</v>
      </c>
      <c r="H475" s="53">
        <f>(H464+H469)- H473</f>
        <v>0</v>
      </c>
      <c r="I475" s="53">
        <f>(I464+I469)- I473</f>
        <v>15294.570000000007</v>
      </c>
      <c r="J475" s="53">
        <f>(J464+J469)- J473</f>
        <v>213339.94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</f>
        <v>688507.66</v>
      </c>
      <c r="G520" s="18">
        <f t="shared" ref="G520:K520" si="36">G197+G276</f>
        <v>391121.32</v>
      </c>
      <c r="H520" s="18">
        <f t="shared" si="36"/>
        <v>16782.580000000002</v>
      </c>
      <c r="I520" s="18">
        <f t="shared" si="36"/>
        <v>3328.23</v>
      </c>
      <c r="J520" s="18">
        <f t="shared" si="36"/>
        <v>3139.59</v>
      </c>
      <c r="K520" s="18">
        <f t="shared" si="36"/>
        <v>0</v>
      </c>
      <c r="L520" s="88">
        <f>SUM(F520:K520)</f>
        <v>1102879.3800000001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H215</f>
        <v>83176</v>
      </c>
      <c r="I521" s="18"/>
      <c r="J521" s="18"/>
      <c r="K521" s="18"/>
      <c r="L521" s="88">
        <f>SUM(F521:K521)</f>
        <v>83176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H233</f>
        <v>205309.17</v>
      </c>
      <c r="I522" s="18"/>
      <c r="J522" s="18"/>
      <c r="K522" s="18"/>
      <c r="L522" s="88">
        <f>SUM(F522:K522)</f>
        <v>205309.17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688507.66</v>
      </c>
      <c r="G523" s="108">
        <f t="shared" ref="G523:L523" si="37">SUM(G520:G522)</f>
        <v>391121.32</v>
      </c>
      <c r="H523" s="108">
        <f t="shared" si="37"/>
        <v>305267.75</v>
      </c>
      <c r="I523" s="108">
        <f t="shared" si="37"/>
        <v>3328.23</v>
      </c>
      <c r="J523" s="108">
        <f t="shared" si="37"/>
        <v>3139.59</v>
      </c>
      <c r="K523" s="108">
        <f t="shared" si="37"/>
        <v>0</v>
      </c>
      <c r="L523" s="89">
        <f t="shared" si="37"/>
        <v>1391364.55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137301.78</v>
      </c>
      <c r="G525" s="18">
        <v>74062.78</v>
      </c>
      <c r="H525" s="18"/>
      <c r="I525" s="18"/>
      <c r="J525" s="18"/>
      <c r="K525" s="18"/>
      <c r="L525" s="88">
        <f>SUM(F525:K525)</f>
        <v>211364.56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137301.78</v>
      </c>
      <c r="G528" s="89">
        <f t="shared" ref="G528:L528" si="38">SUM(G525:G527)</f>
        <v>74062.78</v>
      </c>
      <c r="H528" s="89">
        <f t="shared" si="38"/>
        <v>0</v>
      </c>
      <c r="I528" s="89">
        <f t="shared" si="38"/>
        <v>0</v>
      </c>
      <c r="J528" s="89">
        <f t="shared" si="38"/>
        <v>0</v>
      </c>
      <c r="K528" s="89">
        <f t="shared" si="38"/>
        <v>0</v>
      </c>
      <c r="L528" s="89">
        <f t="shared" si="38"/>
        <v>211364.56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118320.99</v>
      </c>
      <c r="G530" s="18">
        <v>42069.63</v>
      </c>
      <c r="H530" s="18"/>
      <c r="I530" s="18"/>
      <c r="J530" s="18"/>
      <c r="K530" s="18"/>
      <c r="L530" s="88">
        <f>SUM(F530:K530)</f>
        <v>160390.62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118320.99</v>
      </c>
      <c r="G533" s="89">
        <f t="shared" ref="G533:L533" si="39">SUM(G530:G532)</f>
        <v>42069.63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160390.62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871.39</v>
      </c>
      <c r="I535" s="18"/>
      <c r="J535" s="18"/>
      <c r="K535" s="18"/>
      <c r="L535" s="88">
        <f>SUM(F535:K535)</f>
        <v>871.39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871.39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871.39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69930</f>
        <v>69930</v>
      </c>
      <c r="I540" s="18"/>
      <c r="J540" s="18"/>
      <c r="K540" s="18"/>
      <c r="L540" s="88">
        <f>SUM(F540:K540)</f>
        <v>69930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23584.87</v>
      </c>
      <c r="I541" s="18"/>
      <c r="J541" s="18"/>
      <c r="K541" s="18"/>
      <c r="L541" s="88">
        <f>SUM(F541:K541)</f>
        <v>23584.87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60000</v>
      </c>
      <c r="I542" s="18"/>
      <c r="J542" s="18"/>
      <c r="K542" s="18"/>
      <c r="L542" s="88">
        <f>SUM(F542:K542)</f>
        <v>60000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153514.87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153514.87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944130.43</v>
      </c>
      <c r="G544" s="89">
        <f t="shared" ref="G544:L544" si="42">G523+G528+G533+G538+G543</f>
        <v>507253.73</v>
      </c>
      <c r="H544" s="89">
        <f t="shared" si="42"/>
        <v>459654.01</v>
      </c>
      <c r="I544" s="89">
        <f t="shared" si="42"/>
        <v>3328.23</v>
      </c>
      <c r="J544" s="89">
        <f t="shared" si="42"/>
        <v>3139.59</v>
      </c>
      <c r="K544" s="89">
        <f t="shared" si="42"/>
        <v>0</v>
      </c>
      <c r="L544" s="89">
        <f t="shared" si="42"/>
        <v>1917505.9899999998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1102879.3800000001</v>
      </c>
      <c r="G548" s="87">
        <f>L525</f>
        <v>211364.56</v>
      </c>
      <c r="H548" s="87">
        <f>L530</f>
        <v>160390.62</v>
      </c>
      <c r="I548" s="87">
        <f>L535</f>
        <v>871.39</v>
      </c>
      <c r="J548" s="87">
        <f>L540</f>
        <v>69930</v>
      </c>
      <c r="K548" s="87">
        <f>SUM(F548:J548)</f>
        <v>1545435.95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83176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23584.87</v>
      </c>
      <c r="K549" s="87">
        <f>SUM(F549:J549)</f>
        <v>106760.87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205309.17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60000</v>
      </c>
      <c r="K550" s="87">
        <f>SUM(F550:J550)</f>
        <v>265309.17000000004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1391364.55</v>
      </c>
      <c r="G551" s="89">
        <f t="shared" si="43"/>
        <v>211364.56</v>
      </c>
      <c r="H551" s="89">
        <f t="shared" si="43"/>
        <v>160390.62</v>
      </c>
      <c r="I551" s="89">
        <f t="shared" si="43"/>
        <v>871.39</v>
      </c>
      <c r="J551" s="89">
        <f t="shared" si="43"/>
        <v>153514.87</v>
      </c>
      <c r="K551" s="89">
        <f t="shared" si="43"/>
        <v>1917505.9899999998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24818.89</v>
      </c>
      <c r="G561" s="18">
        <v>5181.0600000000004</v>
      </c>
      <c r="H561" s="18"/>
      <c r="I561" s="18"/>
      <c r="J561" s="18"/>
      <c r="K561" s="18"/>
      <c r="L561" s="88">
        <f>SUM(F561:K561)</f>
        <v>29999.95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24818.89</v>
      </c>
      <c r="G564" s="89">
        <f t="shared" si="45"/>
        <v>5181.0600000000004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29999.95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24818.89</v>
      </c>
      <c r="G570" s="89">
        <f t="shared" ref="G570:L570" si="47">G559+G564+G569</f>
        <v>5181.0600000000004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29999.95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f>H214</f>
        <v>1510832.12</v>
      </c>
      <c r="H574" s="18">
        <f>H232</f>
        <v>3025198.7</v>
      </c>
      <c r="I574" s="87">
        <f>SUM(F574:H574)</f>
        <v>4536030.82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86185.17</v>
      </c>
      <c r="I582" s="87">
        <f t="shared" si="48"/>
        <v>86185.17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430776.2</v>
      </c>
      <c r="I590" s="18"/>
      <c r="J590" s="18"/>
      <c r="K590" s="104">
        <f t="shared" ref="K590:K596" si="49">SUM(H590:J590)</f>
        <v>430776.2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H540</f>
        <v>69930</v>
      </c>
      <c r="I591" s="18">
        <f>H541</f>
        <v>23584.87</v>
      </c>
      <c r="J591" s="18">
        <f>H542</f>
        <v>60000</v>
      </c>
      <c r="K591" s="104">
        <f t="shared" si="49"/>
        <v>153514.87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9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6500</v>
      </c>
      <c r="I594" s="18"/>
      <c r="J594" s="18"/>
      <c r="K594" s="104">
        <f t="shared" si="49"/>
        <v>6500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507206.2</v>
      </c>
      <c r="I597" s="108">
        <f>SUM(I590:I596)</f>
        <v>23584.87</v>
      </c>
      <c r="J597" s="108">
        <f>SUM(J590:J596)</f>
        <v>60000</v>
      </c>
      <c r="K597" s="108">
        <f>SUM(K590:K596)</f>
        <v>590791.07000000007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68514.55</v>
      </c>
      <c r="I603" s="18"/>
      <c r="J603" s="18"/>
      <c r="K603" s="104">
        <f>SUM(H603:J603)</f>
        <v>68514.55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68514.55</v>
      </c>
      <c r="I604" s="108">
        <f>SUM(I601:I603)</f>
        <v>0</v>
      </c>
      <c r="J604" s="108">
        <f>SUM(J601:J603)</f>
        <v>0</v>
      </c>
      <c r="K604" s="108">
        <f>SUM(K601:K603)</f>
        <v>68514.55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4450</v>
      </c>
      <c r="G610" s="18">
        <v>843.28</v>
      </c>
      <c r="H610" s="18"/>
      <c r="I610" s="18"/>
      <c r="J610" s="18"/>
      <c r="K610" s="18"/>
      <c r="L610" s="88">
        <f>SUM(F610:K610)</f>
        <v>5293.28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4450</v>
      </c>
      <c r="G613" s="108">
        <f t="shared" si="50"/>
        <v>843.28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5293.28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1013576.3</v>
      </c>
      <c r="H616" s="109">
        <f>SUM(F51)</f>
        <v>1013576.2999999999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12069.189999999999</v>
      </c>
      <c r="H617" s="109">
        <f>SUM(G51)</f>
        <v>12069.19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7726.6399999999994</v>
      </c>
      <c r="H618" s="109">
        <f>SUM(H51)</f>
        <v>7726.64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15294.57</v>
      </c>
      <c r="H619" s="109">
        <f>SUM(I51)</f>
        <v>15294.57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340000</v>
      </c>
      <c r="H620" s="109">
        <f>SUM(J51)</f>
        <v>340000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956832.79999999993</v>
      </c>
      <c r="H621" s="109">
        <f>F475</f>
        <v>956832.79999999702</v>
      </c>
      <c r="I621" s="121" t="s">
        <v>101</v>
      </c>
      <c r="J621" s="109">
        <f t="shared" ref="J621:J654" si="51">G621-H621</f>
        <v>2.9103830456733704E-9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12069.19</v>
      </c>
      <c r="H622" s="109">
        <f>G475</f>
        <v>12069.190000000002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15294.57</v>
      </c>
      <c r="H624" s="109">
        <f>I475</f>
        <v>15294.570000000007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213339.94</v>
      </c>
      <c r="H625" s="109">
        <f>J475</f>
        <v>213339.94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11173072.18</v>
      </c>
      <c r="H626" s="104">
        <f>SUM(F467)</f>
        <v>11173072.18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131951.39000000001</v>
      </c>
      <c r="H627" s="104">
        <f>SUM(G467)</f>
        <v>131951.39000000001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32943.4</v>
      </c>
      <c r="H628" s="104">
        <f>SUM(H467)</f>
        <v>32943.4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126660.06</v>
      </c>
      <c r="H629" s="104">
        <f>SUM(I467)</f>
        <v>126660.06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120000</v>
      </c>
      <c r="H630" s="104">
        <f>SUM(J467)</f>
        <v>120000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11363421.380000003</v>
      </c>
      <c r="H631" s="104">
        <f>SUM(F471)</f>
        <v>11363421.380000003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40787.370000000003</v>
      </c>
      <c r="H632" s="104">
        <f>SUM(H471)</f>
        <v>40787.370000000003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71716.63</v>
      </c>
      <c r="H633" s="104">
        <f>I368</f>
        <v>71716.63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130573.20000000001</v>
      </c>
      <c r="H634" s="104">
        <f>SUM(G471)</f>
        <v>130573.20000000001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126670.06</v>
      </c>
      <c r="H635" s="104">
        <f>SUM(I471)</f>
        <v>126670.06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120000</v>
      </c>
      <c r="H636" s="164">
        <f>SUM(J467)</f>
        <v>120000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126660.06</v>
      </c>
      <c r="H637" s="164">
        <f>SUM(J471)</f>
        <v>126660.06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340000</v>
      </c>
      <c r="H638" s="104">
        <f>SUM(F460)</f>
        <v>340000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340000</v>
      </c>
      <c r="H641" s="104">
        <f>SUM(I460)</f>
        <v>340000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120000</v>
      </c>
      <c r="H644" s="104">
        <f>G407</f>
        <v>120000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120000</v>
      </c>
      <c r="H645" s="104">
        <f>L407</f>
        <v>120000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590791.07000000007</v>
      </c>
      <c r="H646" s="104">
        <f>L207+L225+L243</f>
        <v>590791.07000000007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68514.55</v>
      </c>
      <c r="H647" s="104">
        <f>(J256+J337)-(J254+J335)</f>
        <v>68514.55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507206.2</v>
      </c>
      <c r="H648" s="104">
        <f>H597</f>
        <v>507206.2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23584.87</v>
      </c>
      <c r="H649" s="104">
        <f>I597</f>
        <v>23584.87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60000</v>
      </c>
      <c r="H650" s="104">
        <f>J597</f>
        <v>60000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120000</v>
      </c>
      <c r="H654" s="104">
        <f>K265+K346</f>
        <v>120000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6506681.0900000017</v>
      </c>
      <c r="G659" s="19">
        <f>(L228+L308+L358)</f>
        <v>1617592.9900000002</v>
      </c>
      <c r="H659" s="19">
        <f>(L246+L327+L359)</f>
        <v>3290507.87</v>
      </c>
      <c r="I659" s="19">
        <f>SUM(F659:H659)</f>
        <v>11414781.950000003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100033.78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100033.78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507206.2</v>
      </c>
      <c r="G661" s="19">
        <f>(L225+L305)-(J225+J305)</f>
        <v>23584.87</v>
      </c>
      <c r="H661" s="19">
        <f>(L243+L324)-(J243+J324)</f>
        <v>60000</v>
      </c>
      <c r="I661" s="19">
        <f>SUM(F661:H661)</f>
        <v>590791.07000000007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73807.83</v>
      </c>
      <c r="G662" s="199">
        <f>SUM(G574:G586)+SUM(I601:I603)+L611</f>
        <v>1510832.12</v>
      </c>
      <c r="H662" s="199">
        <f>SUM(H574:H586)+SUM(J601:J603)+L612</f>
        <v>3111383.87</v>
      </c>
      <c r="I662" s="19">
        <f>SUM(F662:H662)</f>
        <v>4696023.82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5825633.2800000021</v>
      </c>
      <c r="G663" s="19">
        <f>G659-SUM(G660:G662)</f>
        <v>83176</v>
      </c>
      <c r="H663" s="19">
        <f>H659-SUM(H660:H662)</f>
        <v>119124</v>
      </c>
      <c r="I663" s="19">
        <f>I659-SUM(I660:I662)</f>
        <v>6027933.2800000031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510.69</v>
      </c>
      <c r="G664" s="248">
        <v>0</v>
      </c>
      <c r="H664" s="248">
        <v>0</v>
      </c>
      <c r="I664" s="19">
        <f>SUM(F664:H664)</f>
        <v>510.69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11407.38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11803.51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-83176</v>
      </c>
      <c r="H668" s="18">
        <v>-119124</v>
      </c>
      <c r="I668" s="19">
        <f>SUM(F668:H668)</f>
        <v>-202300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11407.38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11407.38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 Boston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1804339.25</v>
      </c>
      <c r="C9" s="229">
        <f>'DOE25'!G196+'DOE25'!G214+'DOE25'!G232+'DOE25'!G275+'DOE25'!G294+'DOE25'!G313</f>
        <v>841292.94</v>
      </c>
    </row>
    <row r="10" spans="1:3" x14ac:dyDescent="0.2">
      <c r="A10" t="s">
        <v>779</v>
      </c>
      <c r="B10" s="240">
        <v>1636747.46</v>
      </c>
      <c r="C10" s="240">
        <v>763151.29</v>
      </c>
    </row>
    <row r="11" spans="1:3" x14ac:dyDescent="0.2">
      <c r="A11" t="s">
        <v>780</v>
      </c>
      <c r="B11" s="240">
        <v>107103.62</v>
      </c>
      <c r="C11" s="240">
        <v>49938.39</v>
      </c>
    </row>
    <row r="12" spans="1:3" x14ac:dyDescent="0.2">
      <c r="A12" t="s">
        <v>781</v>
      </c>
      <c r="B12" s="240">
        <v>60488.17</v>
      </c>
      <c r="C12" s="240">
        <v>28203.26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1804339.25</v>
      </c>
      <c r="C13" s="231">
        <f>SUM(C10:C12)</f>
        <v>841292.94000000006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688507.66</v>
      </c>
      <c r="C18" s="229">
        <f>'DOE25'!G197+'DOE25'!G215+'DOE25'!G233+'DOE25'!G276+'DOE25'!G295+'DOE25'!G314</f>
        <v>391121.32</v>
      </c>
    </row>
    <row r="19" spans="1:3" x14ac:dyDescent="0.2">
      <c r="A19" t="s">
        <v>779</v>
      </c>
      <c r="B19" s="240">
        <v>295955.77</v>
      </c>
      <c r="C19" s="240">
        <v>168124.08</v>
      </c>
    </row>
    <row r="20" spans="1:3" x14ac:dyDescent="0.2">
      <c r="A20" t="s">
        <v>780</v>
      </c>
      <c r="B20" s="240">
        <v>392551.89</v>
      </c>
      <c r="C20" s="240">
        <v>222997.24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688507.66</v>
      </c>
      <c r="C22" s="231">
        <f>SUM(C19:C21)</f>
        <v>391121.31999999995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39638</v>
      </c>
      <c r="C36" s="235">
        <f>'DOE25'!G199+'DOE25'!G217+'DOE25'!G235+'DOE25'!G278+'DOE25'!G297+'DOE25'!G316</f>
        <v>6929.0199999999995</v>
      </c>
    </row>
    <row r="37" spans="1:3" x14ac:dyDescent="0.2">
      <c r="A37" t="s">
        <v>779</v>
      </c>
      <c r="B37" s="240">
        <v>39556.75</v>
      </c>
      <c r="C37" s="240">
        <v>6929.02</v>
      </c>
    </row>
    <row r="38" spans="1:3" x14ac:dyDescent="0.2">
      <c r="A38" t="s">
        <v>780</v>
      </c>
      <c r="B38" s="240">
        <v>81.25</v>
      </c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39638</v>
      </c>
      <c r="C40" s="231">
        <f>SUM(C37:C39)</f>
        <v>6929.02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 Boston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8864988.3200000003</v>
      </c>
      <c r="D5" s="20">
        <f>SUM('DOE25'!L196:L199)+SUM('DOE25'!L214:L217)+SUM('DOE25'!L232:L235)-F5-G5</f>
        <v>8800645.8499999996</v>
      </c>
      <c r="E5" s="243"/>
      <c r="F5" s="255">
        <f>SUM('DOE25'!J196:J199)+SUM('DOE25'!J214:J217)+SUM('DOE25'!J232:J235)</f>
        <v>64144.47</v>
      </c>
      <c r="G5" s="53">
        <f>SUM('DOE25'!K196:K199)+SUM('DOE25'!K214:K217)+SUM('DOE25'!K232:K235)</f>
        <v>198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429328.78</v>
      </c>
      <c r="D6" s="20">
        <f>'DOE25'!L201+'DOE25'!L219+'DOE25'!L237-F6-G6</f>
        <v>428978.78</v>
      </c>
      <c r="E6" s="243"/>
      <c r="F6" s="255">
        <f>'DOE25'!J201+'DOE25'!J219+'DOE25'!J237</f>
        <v>350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141604.32999999999</v>
      </c>
      <c r="D7" s="20">
        <f>'DOE25'!L202+'DOE25'!L220+'DOE25'!L238-F7-G7</f>
        <v>141389.34</v>
      </c>
      <c r="E7" s="243"/>
      <c r="F7" s="255">
        <f>'DOE25'!J202+'DOE25'!J220+'DOE25'!J238</f>
        <v>214.99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162929.75000000003</v>
      </c>
      <c r="D8" s="243"/>
      <c r="E8" s="20">
        <f>'DOE25'!L203+'DOE25'!L221+'DOE25'!L239-F8-G8-D9-D11</f>
        <v>159124.66000000003</v>
      </c>
      <c r="F8" s="255">
        <f>'DOE25'!J203+'DOE25'!J221+'DOE25'!J239</f>
        <v>3805.09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10020.74</v>
      </c>
      <c r="D9" s="244">
        <v>10020.74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5750</v>
      </c>
      <c r="D10" s="243"/>
      <c r="E10" s="244">
        <v>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150506</v>
      </c>
      <c r="D11" s="244">
        <v>150506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423813.9</v>
      </c>
      <c r="D12" s="20">
        <f>'DOE25'!L204+'DOE25'!L222+'DOE25'!L240-F12-G12</f>
        <v>423813.9</v>
      </c>
      <c r="E12" s="243"/>
      <c r="F12" s="255">
        <f>'DOE25'!J204+'DOE25'!J222+'DOE25'!J240</f>
        <v>0</v>
      </c>
      <c r="G12" s="53">
        <f>'DOE25'!K204+'DOE25'!K222+'DOE25'!K240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469438.49</v>
      </c>
      <c r="D14" s="20">
        <f>'DOE25'!L206+'DOE25'!L224+'DOE25'!L242-F14-G14</f>
        <v>469438.49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590791.07000000007</v>
      </c>
      <c r="D15" s="20">
        <f>'DOE25'!L207+'DOE25'!L225+'DOE25'!L243-F15-G15</f>
        <v>590791.07000000007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64335.520000000019</v>
      </c>
      <c r="D29" s="20">
        <f>'DOE25'!L357+'DOE25'!L358+'DOE25'!L359-'DOE25'!I366-F29-G29</f>
        <v>62359.840000000018</v>
      </c>
      <c r="E29" s="243"/>
      <c r="F29" s="255">
        <f>'DOE25'!J357+'DOE25'!J358+'DOE25'!J359</f>
        <v>1303</v>
      </c>
      <c r="G29" s="53">
        <f>'DOE25'!K357+'DOE25'!K358+'DOE25'!K359</f>
        <v>672.68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40787.370000000003</v>
      </c>
      <c r="D31" s="20">
        <f>'DOE25'!L289+'DOE25'!L308+'DOE25'!L327+'DOE25'!L332+'DOE25'!L333+'DOE25'!L334-F31-G31</f>
        <v>39948.030000000006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839.34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11117892.039999999</v>
      </c>
      <c r="E33" s="246">
        <f>SUM(E5:E31)</f>
        <v>164874.66000000003</v>
      </c>
      <c r="F33" s="246">
        <f>SUM(F5:F31)</f>
        <v>69817.55</v>
      </c>
      <c r="G33" s="246">
        <f>SUM(G5:G31)</f>
        <v>1710.02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164874.66000000003</v>
      </c>
      <c r="E35" s="249"/>
    </row>
    <row r="36" spans="2:8" ht="12" thickTop="1" x14ac:dyDescent="0.2">
      <c r="B36" t="s">
        <v>815</v>
      </c>
      <c r="D36" s="20">
        <f>D33</f>
        <v>11117892.039999999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M37" sqref="M3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Boston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999755.14</v>
      </c>
      <c r="D8" s="95">
        <f>'DOE25'!G9</f>
        <v>9892.4</v>
      </c>
      <c r="E8" s="95">
        <f>'DOE25'!H9</f>
        <v>775.56</v>
      </c>
      <c r="F8" s="95">
        <f>'DOE25'!I9</f>
        <v>15294.57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220000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2176.79</v>
      </c>
      <c r="E12" s="95">
        <f>'DOE25'!H13</f>
        <v>6951.08</v>
      </c>
      <c r="F12" s="95">
        <f>'DOE25'!I13</f>
        <v>0</v>
      </c>
      <c r="G12" s="95">
        <f>'DOE25'!J13</f>
        <v>120000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4297.7700000000004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9523.39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1013576.3</v>
      </c>
      <c r="D18" s="41">
        <f>SUM(D8:D17)</f>
        <v>12069.189999999999</v>
      </c>
      <c r="E18" s="41">
        <f>SUM(E8:E17)</f>
        <v>7726.6399999999994</v>
      </c>
      <c r="F18" s="41">
        <f>SUM(F8:F17)</f>
        <v>15294.57</v>
      </c>
      <c r="G18" s="41">
        <f>SUM(G8:G17)</f>
        <v>340000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126660.06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430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56743.5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7296.64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56743.5</v>
      </c>
      <c r="D31" s="41">
        <f>SUM(D21:D30)</f>
        <v>0</v>
      </c>
      <c r="E31" s="41">
        <f>SUM(E21:E30)</f>
        <v>7726.64</v>
      </c>
      <c r="F31" s="41">
        <f>SUM(F21:F30)</f>
        <v>0</v>
      </c>
      <c r="G31" s="41">
        <f>SUM(G21:G30)</f>
        <v>126660.06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4297.7700000000004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9523.39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100376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12069.19</v>
      </c>
      <c r="E46" s="95">
        <f>'DOE25'!H47</f>
        <v>0</v>
      </c>
      <c r="F46" s="95">
        <f>'DOE25'!I47</f>
        <v>15294.57</v>
      </c>
      <c r="G46" s="95">
        <f>'DOE25'!J47</f>
        <v>213339.94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224873.71999999997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617761.91999999993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956832.79999999993</v>
      </c>
      <c r="D49" s="41">
        <f>SUM(D34:D48)</f>
        <v>12069.19</v>
      </c>
      <c r="E49" s="41">
        <f>SUM(E34:E48)</f>
        <v>0</v>
      </c>
      <c r="F49" s="41">
        <f>SUM(F34:F48)</f>
        <v>15294.57</v>
      </c>
      <c r="G49" s="41">
        <f>SUM(G34:G48)</f>
        <v>213339.94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1013576.2999999999</v>
      </c>
      <c r="D50" s="41">
        <f>D49+D31</f>
        <v>12069.19</v>
      </c>
      <c r="E50" s="41">
        <f>E49+E31</f>
        <v>7726.64</v>
      </c>
      <c r="F50" s="41">
        <f>F49+F31</f>
        <v>15294.57</v>
      </c>
      <c r="G50" s="41">
        <f>G49+G31</f>
        <v>340000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7491460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6306.54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1987.04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100033.78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1706.05</v>
      </c>
      <c r="D60" s="95">
        <f>SUM('DOE25'!G97:G109)</f>
        <v>0</v>
      </c>
      <c r="E60" s="95">
        <f>SUM('DOE25'!H97:H109)</f>
        <v>3571.2200000000003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9999.6299999999992</v>
      </c>
      <c r="D61" s="130">
        <f>SUM(D56:D60)</f>
        <v>100033.78</v>
      </c>
      <c r="E61" s="130">
        <f>SUM(E56:E60)</f>
        <v>3571.2200000000003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7501459.6299999999</v>
      </c>
      <c r="D62" s="22">
        <f>D55+D61</f>
        <v>100033.78</v>
      </c>
      <c r="E62" s="22">
        <f>E55+E61</f>
        <v>3571.2200000000003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2218216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1318501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3536717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60539.519999999997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1850</v>
      </c>
      <c r="E76" s="95">
        <f>SUM('DOE25'!H130:H134)</f>
        <v>383.97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60539.519999999997</v>
      </c>
      <c r="D77" s="130">
        <f>SUM(D71:D76)</f>
        <v>1850</v>
      </c>
      <c r="E77" s="130">
        <f>SUM(E71:E76)</f>
        <v>383.97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3597256.52</v>
      </c>
      <c r="D80" s="130">
        <f>SUM(D78:D79)+D77+D69</f>
        <v>1850</v>
      </c>
      <c r="E80" s="130">
        <f>SUM(E78:E79)+E77+E69</f>
        <v>383.97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74356.03</v>
      </c>
      <c r="D87" s="95">
        <f>SUM('DOE25'!G152:G160)</f>
        <v>17829.43</v>
      </c>
      <c r="E87" s="95">
        <f>SUM('DOE25'!H152:H160)</f>
        <v>28988.21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12238.18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74356.03</v>
      </c>
      <c r="D90" s="131">
        <f>SUM(D84:D89)</f>
        <v>30067.61</v>
      </c>
      <c r="E90" s="131">
        <f>SUM(E84:E89)</f>
        <v>28988.21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126660.06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126660.06</v>
      </c>
      <c r="G102" s="86">
        <f>SUM(G92:G101)</f>
        <v>120000</v>
      </c>
    </row>
    <row r="103" spans="1:7" ht="12.75" thickTop="1" thickBot="1" x14ac:dyDescent="0.25">
      <c r="A103" s="33" t="s">
        <v>765</v>
      </c>
      <c r="C103" s="86">
        <f>C62+C80+C90+C102</f>
        <v>11173072.18</v>
      </c>
      <c r="D103" s="86">
        <f>D62+D80+D90+D102</f>
        <v>131951.39000000001</v>
      </c>
      <c r="E103" s="86">
        <f>E62+E80+E90+E102</f>
        <v>32943.4</v>
      </c>
      <c r="F103" s="86">
        <f>F62+F80+F90+F102</f>
        <v>126660.06</v>
      </c>
      <c r="G103" s="86">
        <f>G62+G80+G102</f>
        <v>120000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7461440.4299999997</v>
      </c>
      <c r="D108" s="24" t="s">
        <v>289</v>
      </c>
      <c r="E108" s="95">
        <f>('DOE25'!L275)+('DOE25'!L294)+('DOE25'!L313)</f>
        <v>400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1362274.1500000001</v>
      </c>
      <c r="D109" s="24" t="s">
        <v>289</v>
      </c>
      <c r="E109" s="95">
        <f>('DOE25'!L276)+('DOE25'!L295)+('DOE25'!L314)</f>
        <v>29090.400000000001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41273.74</v>
      </c>
      <c r="D111" s="24" t="s">
        <v>289</v>
      </c>
      <c r="E111" s="95">
        <f>+('DOE25'!L278)+('DOE25'!L297)+('DOE25'!L316)</f>
        <v>5293.28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8864988.3200000003</v>
      </c>
      <c r="D114" s="86">
        <f>SUM(D108:D113)</f>
        <v>0</v>
      </c>
      <c r="E114" s="86">
        <f>SUM(E108:E113)</f>
        <v>34783.68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429328.78</v>
      </c>
      <c r="D117" s="24" t="s">
        <v>289</v>
      </c>
      <c r="E117" s="95">
        <f>+('DOE25'!L280)+('DOE25'!L299)+('DOE25'!L318)</f>
        <v>-1102.7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141604.32999999999</v>
      </c>
      <c r="D118" s="24" t="s">
        <v>289</v>
      </c>
      <c r="E118" s="95">
        <f>+('DOE25'!L281)+('DOE25'!L300)+('DOE25'!L319)</f>
        <v>6267.05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323456.49000000005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423813.9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839.34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469438.49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590791.07000000007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130573.20000000001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2378433.06</v>
      </c>
      <c r="D127" s="86">
        <f>SUM(D117:D126)</f>
        <v>130573.20000000001</v>
      </c>
      <c r="E127" s="86">
        <f>SUM(E117:E126)</f>
        <v>6003.6900000000005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126670.06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126660.06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100000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120000</v>
      </c>
      <c r="D143" s="141">
        <f>SUM(D129:D142)</f>
        <v>0</v>
      </c>
      <c r="E143" s="141">
        <f>SUM(E129:E142)</f>
        <v>0</v>
      </c>
      <c r="F143" s="141">
        <f>SUM(F129:F142)</f>
        <v>126670.06</v>
      </c>
      <c r="G143" s="141">
        <f>SUM(G129:G142)</f>
        <v>126660.06</v>
      </c>
    </row>
    <row r="144" spans="1:7" ht="12.75" thickTop="1" thickBot="1" x14ac:dyDescent="0.25">
      <c r="A144" s="33" t="s">
        <v>244</v>
      </c>
      <c r="C144" s="86">
        <f>(C114+C127+C143)</f>
        <v>11363421.380000001</v>
      </c>
      <c r="D144" s="86">
        <f>(D114+D127+D143)</f>
        <v>130573.20000000001</v>
      </c>
      <c r="E144" s="86">
        <f>(E114+E127+E143)</f>
        <v>40787.370000000003</v>
      </c>
      <c r="F144" s="86">
        <f>(F114+F127+F143)</f>
        <v>126670.06</v>
      </c>
      <c r="G144" s="86">
        <f>(G114+G127+G143)</f>
        <v>126660.06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B65" sqref="B6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 Boston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11407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11407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7461840</v>
      </c>
      <c r="D10" s="182">
        <f>ROUND((C10/$C$28)*100,1)</f>
        <v>65.900000000000006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1391365</v>
      </c>
      <c r="D11" s="182">
        <f>ROUND((C11/$C$28)*100,1)</f>
        <v>12.3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46567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428226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147871</v>
      </c>
      <c r="D16" s="182">
        <f t="shared" si="0"/>
        <v>1.3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323456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423814</v>
      </c>
      <c r="D18" s="182">
        <f t="shared" si="0"/>
        <v>3.7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839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469438</v>
      </c>
      <c r="D20" s="182">
        <f t="shared" si="0"/>
        <v>4.0999999999999996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590791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30539.22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11314746.220000001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126670</v>
      </c>
    </row>
    <row r="30" spans="1:4" x14ac:dyDescent="0.2">
      <c r="B30" s="187" t="s">
        <v>729</v>
      </c>
      <c r="C30" s="180">
        <f>SUM(C28:C29)</f>
        <v>11441416.220000001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7491460</v>
      </c>
      <c r="D35" s="182">
        <f t="shared" ref="D35:D40" si="1">ROUND((C35/$C$41)*100,1)</f>
        <v>66.7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13570.849999999627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3536717</v>
      </c>
      <c r="D37" s="182">
        <f t="shared" si="1"/>
        <v>31.5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62773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133412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11237932.85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:M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 Boston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4</v>
      </c>
      <c r="B4" s="219">
        <v>15</v>
      </c>
      <c r="C4" s="284" t="s">
        <v>910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5</v>
      </c>
      <c r="B5" s="219">
        <v>11</v>
      </c>
      <c r="C5" s="284" t="s">
        <v>911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17</v>
      </c>
      <c r="B6" s="219">
        <v>9</v>
      </c>
      <c r="C6" s="284" t="s">
        <v>912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</v>
      </c>
      <c r="B7" s="219">
        <v>30</v>
      </c>
      <c r="C7" s="284" t="s">
        <v>913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2013-10-02T13:29:42Z</cp:lastPrinted>
  <dcterms:created xsi:type="dcterms:W3CDTF">1997-12-04T19:04:30Z</dcterms:created>
  <dcterms:modified xsi:type="dcterms:W3CDTF">2013-11-22T13:55:46Z</dcterms:modified>
</cp:coreProperties>
</file>