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/>
  <c r="C67" i="2"/>
  <c r="B2" i="13"/>
  <c r="F8" i="13"/>
  <c r="G8" i="13"/>
  <c r="L203" i="1"/>
  <c r="C17" i="10" s="1"/>
  <c r="L221" i="1"/>
  <c r="L239" i="1"/>
  <c r="D39" i="13"/>
  <c r="F13" i="13"/>
  <c r="G13" i="13"/>
  <c r="L205" i="1"/>
  <c r="L223" i="1"/>
  <c r="L241" i="1"/>
  <c r="C19" i="10" s="1"/>
  <c r="F16" i="13"/>
  <c r="G16" i="13"/>
  <c r="L208" i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46" i="1" s="1"/>
  <c r="L233" i="1"/>
  <c r="L234" i="1"/>
  <c r="L235" i="1"/>
  <c r="F6" i="13"/>
  <c r="G6" i="13"/>
  <c r="L201" i="1"/>
  <c r="L219" i="1"/>
  <c r="L237" i="1"/>
  <c r="F7" i="13"/>
  <c r="G7" i="13"/>
  <c r="L202" i="1"/>
  <c r="C16" i="10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C21" i="10" s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400" i="1" s="1"/>
  <c r="C138" i="2" s="1"/>
  <c r="C140" i="2" s="1"/>
  <c r="L396" i="1"/>
  <c r="L397" i="1"/>
  <c r="L398" i="1"/>
  <c r="L399" i="1"/>
  <c r="L402" i="1"/>
  <c r="L403" i="1"/>
  <c r="L404" i="1"/>
  <c r="L405" i="1"/>
  <c r="L265" i="1"/>
  <c r="J59" i="1"/>
  <c r="G55" i="2"/>
  <c r="G58" i="2"/>
  <c r="G61" i="2" s="1"/>
  <c r="G62" i="2" s="1"/>
  <c r="G60" i="2"/>
  <c r="F2" i="11"/>
  <c r="L612" i="1"/>
  <c r="H662" i="1" s="1"/>
  <c r="L611" i="1"/>
  <c r="G662" i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/>
  <c r="J110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F84" i="2" s="1"/>
  <c r="I161" i="1"/>
  <c r="C11" i="10"/>
  <c r="C12" i="10"/>
  <c r="C18" i="10"/>
  <c r="C20" i="10"/>
  <c r="L249" i="1"/>
  <c r="C23" i="10" s="1"/>
  <c r="L331" i="1"/>
  <c r="L253" i="1"/>
  <c r="C25" i="10"/>
  <c r="L267" i="1"/>
  <c r="L268" i="1"/>
  <c r="L348" i="1"/>
  <c r="L349" i="1"/>
  <c r="I664" i="1"/>
  <c r="I669" i="1"/>
  <c r="L228" i="1"/>
  <c r="F660" i="1"/>
  <c r="G660" i="1"/>
  <c r="H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50" i="1" s="1"/>
  <c r="L345" i="1"/>
  <c r="L346" i="1"/>
  <c r="K350" i="1"/>
  <c r="K351" i="1" s="1"/>
  <c r="L520" i="1"/>
  <c r="F548" i="1" s="1"/>
  <c r="L521" i="1"/>
  <c r="F549" i="1"/>
  <c r="L522" i="1"/>
  <c r="F550" i="1" s="1"/>
  <c r="K550" i="1" s="1"/>
  <c r="L525" i="1"/>
  <c r="G548" i="1" s="1"/>
  <c r="L526" i="1"/>
  <c r="G549" i="1" s="1"/>
  <c r="L527" i="1"/>
  <c r="G550" i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/>
  <c r="L540" i="1"/>
  <c r="J548" i="1" s="1"/>
  <c r="J551" i="1" s="1"/>
  <c r="L541" i="1"/>
  <c r="J549" i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 s="1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 s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E31" i="2" s="1"/>
  <c r="F21" i="2"/>
  <c r="I447" i="1"/>
  <c r="J22" i="1" s="1"/>
  <c r="G21" i="2" s="1"/>
  <c r="C22" i="2"/>
  <c r="D22" i="2"/>
  <c r="E22" i="2"/>
  <c r="F22" i="2"/>
  <c r="I448" i="1"/>
  <c r="J23" i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 s="1"/>
  <c r="C48" i="2"/>
  <c r="C49" i="2" s="1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D144" i="2" s="1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K499" i="1" s="1"/>
  <c r="G499" i="1"/>
  <c r="C160" i="2"/>
  <c r="H499" i="1"/>
  <c r="D160" i="2" s="1"/>
  <c r="I499" i="1"/>
  <c r="E160" i="2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/>
  <c r="H502" i="1"/>
  <c r="D163" i="2" s="1"/>
  <c r="I502" i="1"/>
  <c r="E163" i="2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621" i="1" s="1"/>
  <c r="G50" i="1"/>
  <c r="H50" i="1"/>
  <c r="I50" i="1"/>
  <c r="I51" i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H256" i="1" s="1"/>
  <c r="H270" i="1" s="1"/>
  <c r="I210" i="1"/>
  <c r="J210" i="1"/>
  <c r="J256" i="1" s="1"/>
  <c r="H647" i="1" s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L336" i="1" s="1"/>
  <c r="I336" i="1"/>
  <c r="J336" i="1"/>
  <c r="J337" i="1"/>
  <c r="J351" i="1" s="1"/>
  <c r="K336" i="1"/>
  <c r="K337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J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H642" i="1" s="1"/>
  <c r="G407" i="1"/>
  <c r="H644" i="1" s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2" i="1" s="1"/>
  <c r="L430" i="1"/>
  <c r="L431" i="1"/>
  <c r="F432" i="1"/>
  <c r="G432" i="1"/>
  <c r="H432" i="1"/>
  <c r="I432" i="1"/>
  <c r="J432" i="1"/>
  <c r="F445" i="1"/>
  <c r="G445" i="1"/>
  <c r="G639" i="1" s="1"/>
  <c r="H445" i="1"/>
  <c r="I445" i="1"/>
  <c r="F451" i="1"/>
  <c r="G451" i="1"/>
  <c r="H451" i="1"/>
  <c r="I451" i="1"/>
  <c r="F459" i="1"/>
  <c r="G459" i="1"/>
  <c r="H459" i="1"/>
  <c r="I459" i="1"/>
  <c r="F460" i="1"/>
  <c r="H638" i="1" s="1"/>
  <c r="G460" i="1"/>
  <c r="H460" i="1"/>
  <c r="I460" i="1"/>
  <c r="H641" i="1" s="1"/>
  <c r="J641" i="1" s="1"/>
  <c r="F469" i="1"/>
  <c r="G469" i="1"/>
  <c r="H469" i="1"/>
  <c r="I469" i="1"/>
  <c r="J469" i="1"/>
  <c r="J475" i="1" s="1"/>
  <c r="H625" i="1" s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K544" i="1" s="1"/>
  <c r="F528" i="1"/>
  <c r="G528" i="1"/>
  <c r="H528" i="1"/>
  <c r="I528" i="1"/>
  <c r="I544" i="1" s="1"/>
  <c r="J528" i="1"/>
  <c r="K528" i="1"/>
  <c r="L528" i="1"/>
  <c r="F533" i="1"/>
  <c r="G533" i="1"/>
  <c r="H533" i="1"/>
  <c r="I533" i="1"/>
  <c r="J533" i="1"/>
  <c r="J544" i="1" s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I570" i="1" s="1"/>
  <c r="J559" i="1"/>
  <c r="K559" i="1"/>
  <c r="L561" i="1"/>
  <c r="L562" i="1"/>
  <c r="L564" i="1" s="1"/>
  <c r="L563" i="1"/>
  <c r="F564" i="1"/>
  <c r="G564" i="1"/>
  <c r="H564" i="1"/>
  <c r="H570" i="1" s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J648" i="1" s="1"/>
  <c r="I597" i="1"/>
  <c r="H649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38" i="1"/>
  <c r="H639" i="1"/>
  <c r="G640" i="1"/>
  <c r="H640" i="1"/>
  <c r="G641" i="1"/>
  <c r="G642" i="1"/>
  <c r="J642" i="1" s="1"/>
  <c r="G643" i="1"/>
  <c r="H643" i="1"/>
  <c r="H646" i="1"/>
  <c r="G648" i="1"/>
  <c r="G649" i="1"/>
  <c r="G650" i="1"/>
  <c r="G651" i="1"/>
  <c r="H651" i="1"/>
  <c r="G652" i="1"/>
  <c r="H652" i="1"/>
  <c r="G653" i="1"/>
  <c r="J653" i="1" s="1"/>
  <c r="H653" i="1"/>
  <c r="H654" i="1"/>
  <c r="F191" i="1"/>
  <c r="L255" i="1"/>
  <c r="K256" i="1"/>
  <c r="K270" i="1" s="1"/>
  <c r="G159" i="2"/>
  <c r="C18" i="2"/>
  <c r="F31" i="2"/>
  <c r="C26" i="10"/>
  <c r="L327" i="1"/>
  <c r="L289" i="1"/>
  <c r="A31" i="12"/>
  <c r="C69" i="2"/>
  <c r="C80" i="2" s="1"/>
  <c r="A40" i="12"/>
  <c r="D12" i="13"/>
  <c r="C12" i="13" s="1"/>
  <c r="G161" i="2"/>
  <c r="D61" i="2"/>
  <c r="D62" i="2"/>
  <c r="E49" i="2"/>
  <c r="D18" i="13"/>
  <c r="C18" i="13"/>
  <c r="D15" i="13"/>
  <c r="C15" i="13" s="1"/>
  <c r="D7" i="13"/>
  <c r="C7" i="13" s="1"/>
  <c r="F102" i="2"/>
  <c r="D18" i="2"/>
  <c r="E18" i="2"/>
  <c r="D17" i="13"/>
  <c r="C17" i="13"/>
  <c r="D6" i="13"/>
  <c r="C6" i="13"/>
  <c r="E8" i="13"/>
  <c r="E33" i="13" s="1"/>
  <c r="D35" i="13" s="1"/>
  <c r="G158" i="2"/>
  <c r="C90" i="2"/>
  <c r="G80" i="2"/>
  <c r="F77" i="2"/>
  <c r="F80" i="2" s="1"/>
  <c r="F61" i="2"/>
  <c r="F62" i="2"/>
  <c r="D31" i="2"/>
  <c r="C77" i="2"/>
  <c r="D49" i="2"/>
  <c r="G156" i="2"/>
  <c r="F49" i="2"/>
  <c r="F50" i="2"/>
  <c r="F18" i="2"/>
  <c r="G162" i="2"/>
  <c r="G157" i="2"/>
  <c r="G155" i="2"/>
  <c r="E143" i="2"/>
  <c r="E144" i="2" s="1"/>
  <c r="E114" i="2"/>
  <c r="G102" i="2"/>
  <c r="E102" i="2"/>
  <c r="C102" i="2"/>
  <c r="D90" i="2"/>
  <c r="F90" i="2"/>
  <c r="E61" i="2"/>
  <c r="E62" i="2" s="1"/>
  <c r="D29" i="13"/>
  <c r="C29" i="13" s="1"/>
  <c r="D19" i="13"/>
  <c r="C19" i="13"/>
  <c r="D14" i="13"/>
  <c r="C14" i="13" s="1"/>
  <c r="E13" i="13"/>
  <c r="C13" i="13"/>
  <c r="E77" i="2"/>
  <c r="E80" i="2" s="1"/>
  <c r="L426" i="1"/>
  <c r="H111" i="1"/>
  <c r="F111" i="1"/>
  <c r="J640" i="1"/>
  <c r="J570" i="1"/>
  <c r="K570" i="1"/>
  <c r="L418" i="1"/>
  <c r="D80" i="2"/>
  <c r="I168" i="1"/>
  <c r="H168" i="1"/>
  <c r="J643" i="1"/>
  <c r="H475" i="1"/>
  <c r="H623" i="1" s="1"/>
  <c r="I475" i="1"/>
  <c r="H624" i="1"/>
  <c r="J624" i="1"/>
  <c r="G337" i="1"/>
  <c r="G351" i="1" s="1"/>
  <c r="F168" i="1"/>
  <c r="J139" i="1"/>
  <c r="F570" i="1"/>
  <c r="G22" i="2"/>
  <c r="C29" i="10"/>
  <c r="I660" i="1"/>
  <c r="H139" i="1"/>
  <c r="L392" i="1"/>
  <c r="A13" i="12"/>
  <c r="F22" i="13"/>
  <c r="H25" i="13"/>
  <c r="C25" i="13" s="1"/>
  <c r="J639" i="1"/>
  <c r="L559" i="1"/>
  <c r="L570" i="1" s="1"/>
  <c r="H337" i="1"/>
  <c r="H351" i="1" s="1"/>
  <c r="F337" i="1"/>
  <c r="F351" i="1"/>
  <c r="G191" i="1"/>
  <c r="H191" i="1"/>
  <c r="E127" i="2"/>
  <c r="F551" i="1"/>
  <c r="C35" i="10"/>
  <c r="L308" i="1"/>
  <c r="G659" i="1" s="1"/>
  <c r="D5" i="13"/>
  <c r="C5" i="13" s="1"/>
  <c r="E16" i="13"/>
  <c r="J654" i="1"/>
  <c r="L569" i="1"/>
  <c r="J635" i="1"/>
  <c r="G36" i="2"/>
  <c r="G544" i="1"/>
  <c r="C22" i="13"/>
  <c r="C137" i="2"/>
  <c r="C16" i="13"/>
  <c r="H33" i="13"/>
  <c r="C24" i="10"/>
  <c r="G663" i="1"/>
  <c r="G666" i="1" s="1"/>
  <c r="G31" i="13"/>
  <c r="G33" i="13"/>
  <c r="I337" i="1"/>
  <c r="I351" i="1" s="1"/>
  <c r="J649" i="1"/>
  <c r="L406" i="1"/>
  <c r="C139" i="2" s="1"/>
  <c r="I191" i="1"/>
  <c r="I192" i="1" s="1"/>
  <c r="G629" i="1" s="1"/>
  <c r="J629" i="1" s="1"/>
  <c r="E90" i="2"/>
  <c r="J652" i="1"/>
  <c r="G31" i="2"/>
  <c r="J32" i="1"/>
  <c r="L433" i="1"/>
  <c r="G637" i="1" s="1"/>
  <c r="J637" i="1"/>
  <c r="J433" i="1"/>
  <c r="F433" i="1"/>
  <c r="K433" i="1"/>
  <c r="G133" i="2"/>
  <c r="G143" i="2"/>
  <c r="G144" i="2" s="1"/>
  <c r="C6" i="10"/>
  <c r="F31" i="13"/>
  <c r="F33" i="13" s="1"/>
  <c r="F103" i="2"/>
  <c r="H192" i="1"/>
  <c r="G628" i="1" s="1"/>
  <c r="G168" i="1"/>
  <c r="G139" i="1"/>
  <c r="F139" i="1"/>
  <c r="C5" i="10"/>
  <c r="G42" i="2"/>
  <c r="G16" i="2"/>
  <c r="H433" i="1"/>
  <c r="D102" i="2"/>
  <c r="I139" i="1"/>
  <c r="A22" i="12"/>
  <c r="G570" i="1"/>
  <c r="I433" i="1"/>
  <c r="G433" i="1"/>
  <c r="I662" i="1"/>
  <c r="C27" i="10"/>
  <c r="G634" i="1"/>
  <c r="J634" i="1" s="1"/>
  <c r="J651" i="1" l="1"/>
  <c r="D103" i="2"/>
  <c r="G192" i="1"/>
  <c r="G627" i="1" s="1"/>
  <c r="H544" i="1"/>
  <c r="I551" i="1"/>
  <c r="H551" i="1"/>
  <c r="K549" i="1"/>
  <c r="L533" i="1"/>
  <c r="G551" i="1"/>
  <c r="F544" i="1"/>
  <c r="L523" i="1"/>
  <c r="K604" i="1"/>
  <c r="G647" i="1" s="1"/>
  <c r="J647" i="1" s="1"/>
  <c r="K597" i="1"/>
  <c r="G646" i="1" s="1"/>
  <c r="J628" i="1"/>
  <c r="G475" i="1"/>
  <c r="H622" i="1" s="1"/>
  <c r="J622" i="1" s="1"/>
  <c r="J627" i="1"/>
  <c r="F475" i="1"/>
  <c r="H621" i="1" s="1"/>
  <c r="J621" i="1" s="1"/>
  <c r="F192" i="1"/>
  <c r="G626" i="1" s="1"/>
  <c r="J626" i="1" s="1"/>
  <c r="G644" i="1"/>
  <c r="J644" i="1" s="1"/>
  <c r="J111" i="1"/>
  <c r="C36" i="10" s="1"/>
  <c r="G46" i="2"/>
  <c r="G49" i="2" s="1"/>
  <c r="G50" i="2" s="1"/>
  <c r="J50" i="1"/>
  <c r="J638" i="1"/>
  <c r="E50" i="2"/>
  <c r="H51" i="1"/>
  <c r="H618" i="1" s="1"/>
  <c r="J618" i="1" s="1"/>
  <c r="D50" i="2"/>
  <c r="G51" i="1"/>
  <c r="H617" i="1" s="1"/>
  <c r="J617" i="1" s="1"/>
  <c r="F51" i="1"/>
  <c r="H616" i="1" s="1"/>
  <c r="J616" i="1" s="1"/>
  <c r="C31" i="2"/>
  <c r="C50" i="2" s="1"/>
  <c r="C114" i="2"/>
  <c r="L337" i="1"/>
  <c r="L351" i="1" s="1"/>
  <c r="G632" i="1" s="1"/>
  <c r="J632" i="1" s="1"/>
  <c r="C10" i="10"/>
  <c r="C143" i="2"/>
  <c r="C61" i="2"/>
  <c r="C62" i="2" s="1"/>
  <c r="C103" i="2" s="1"/>
  <c r="J646" i="1"/>
  <c r="F661" i="1"/>
  <c r="I661" i="1" s="1"/>
  <c r="I256" i="1"/>
  <c r="I270" i="1" s="1"/>
  <c r="J270" i="1"/>
  <c r="C127" i="2"/>
  <c r="G671" i="1"/>
  <c r="L210" i="1"/>
  <c r="F659" i="1" s="1"/>
  <c r="F663" i="1" s="1"/>
  <c r="F666" i="1" s="1"/>
  <c r="C38" i="10"/>
  <c r="C39" i="10"/>
  <c r="C15" i="10"/>
  <c r="F256" i="1"/>
  <c r="F270" i="1" s="1"/>
  <c r="C8" i="13"/>
  <c r="G103" i="2"/>
  <c r="K548" i="1"/>
  <c r="E103" i="2"/>
  <c r="G12" i="2"/>
  <c r="G18" i="2" s="1"/>
  <c r="J19" i="1"/>
  <c r="G620" i="1" s="1"/>
  <c r="G163" i="2"/>
  <c r="D31" i="13"/>
  <c r="L407" i="1"/>
  <c r="H659" i="1"/>
  <c r="H663" i="1" s="1"/>
  <c r="G623" i="1"/>
  <c r="J623" i="1" s="1"/>
  <c r="K502" i="1"/>
  <c r="B160" i="2"/>
  <c r="G160" i="2" s="1"/>
  <c r="C144" i="2" l="1"/>
  <c r="K551" i="1"/>
  <c r="L544" i="1"/>
  <c r="J192" i="1"/>
  <c r="G625" i="1"/>
  <c r="J625" i="1" s="1"/>
  <c r="J51" i="1"/>
  <c r="H620" i="1" s="1"/>
  <c r="C28" i="10"/>
  <c r="D11" i="10" s="1"/>
  <c r="C41" i="10"/>
  <c r="D37" i="10" s="1"/>
  <c r="L256" i="1"/>
  <c r="L270" i="1" s="1"/>
  <c r="G631" i="1" s="1"/>
  <c r="J631" i="1" s="1"/>
  <c r="I659" i="1"/>
  <c r="I663" i="1" s="1"/>
  <c r="I671" i="1" s="1"/>
  <c r="C7" i="10" s="1"/>
  <c r="F671" i="1"/>
  <c r="C4" i="10" s="1"/>
  <c r="D21" i="10"/>
  <c r="D25" i="10"/>
  <c r="D22" i="10"/>
  <c r="D15" i="10"/>
  <c r="D16" i="10"/>
  <c r="D26" i="10"/>
  <c r="D24" i="10"/>
  <c r="D12" i="10"/>
  <c r="D18" i="10"/>
  <c r="D23" i="10"/>
  <c r="C30" i="10"/>
  <c r="D10" i="10"/>
  <c r="D27" i="10"/>
  <c r="G636" i="1"/>
  <c r="J636" i="1" s="1"/>
  <c r="H645" i="1"/>
  <c r="H666" i="1"/>
  <c r="H671" i="1"/>
  <c r="C31" i="13"/>
  <c r="D33" i="13"/>
  <c r="D36" i="13" s="1"/>
  <c r="D40" i="10"/>
  <c r="D35" i="10"/>
  <c r="J620" i="1"/>
  <c r="D36" i="10"/>
  <c r="I666" i="1" l="1"/>
  <c r="D38" i="10"/>
  <c r="G630" i="1"/>
  <c r="J630" i="1" s="1"/>
  <c r="G645" i="1"/>
  <c r="J645" i="1" s="1"/>
  <c r="D20" i="10"/>
  <c r="D13" i="10"/>
  <c r="D39" i="10"/>
  <c r="D41" i="10" s="1"/>
  <c r="D19" i="10"/>
  <c r="D17" i="10"/>
  <c r="H655" i="1" l="1"/>
  <c r="D28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<sst xmlns="http://schemas.openxmlformats.org/spreadsheetml/2006/main" count="3949" uniqueCount="910">
  <si>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</si>
  <si>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</si>
  <si>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</si>
  <si>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</si>
  <si>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</si>
  <si>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</si>
  <si>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</si>
  <si>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</si>
  <si>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</si>
  <si>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</si>
  <si>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</si>
  <si>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</si>
  <si>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</si>
  <si>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</si>
  <si>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</si>
  <si>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</si>
  <si>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</si>
  <si>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</si>
  <si>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</si>
  <si>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</si>
  <si>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</si>
  <si>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</si>
  <si>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</si>
  <si>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</si>
  <si>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</si>
  <si>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</si>
  <si>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</si>
  <si>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</si>
  <si>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</si>
  <si>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</si>
  <si>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</si>
  <si>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</si>
  <si>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</si>
  <si>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</si>
  <si>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</si>
  <si>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</si>
  <si>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</si>
  <si>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</si>
  <si>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</si>
  <si>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</si>
  <si>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</si>
  <si>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</si>
  <si>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</si>
  <si>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</si>
  <si>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</si>
  <si>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</si>
  <si>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</si>
  <si>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</si>
  <si>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</si>
  <si>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</si>
  <si>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</si>
  <si>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</si>
  <si>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</si>
  <si>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</si>
  <si>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</si>
  <si>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</si>
  <si>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</si>
  <si>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</si>
  <si>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</si>
  <si>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</si>
  <si>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</si>
  <si>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</si>
  <si>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</si>
  <si>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</si>
  <si>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</si>
  <si>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</si>
  <si>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</si>
  <si>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</si>
  <si>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</si>
  <si>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</si>
  <si>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</si>
  <si>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</si>
  <si>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</si>
  <si>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</si>
  <si>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</si>
  <si>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</si>
  <si>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</si>
  <si>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</si>
  <si>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</si>
  <si>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</si>
  <si>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</si>
  <si>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</si>
  <si>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</si>
  <si>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</si>
  <si>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</si>
  <si>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</si>
  <si>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</si>
  <si>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</si>
  <si>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</si>
  <si>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</si>
  <si>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</si>
  <si>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</si>
  <si>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</si>
  <si>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</si>
  <si>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</si>
  <si>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</si>
  <si>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</si>
  <si>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</si>
  <si>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</si>
  <si>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</si>
  <si>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</si>
  <si>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</si>
  <si>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</si>
  <si>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</si>
  <si>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</si>
  <si>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</si>
  <si>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</si>
  <si>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</si>
  <si>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</si>
  <si>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</si>
  <si>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</si>
  <si>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</si>
  <si>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</si>
  <si>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</si>
  <si>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</si>
  <si>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</si>
  <si>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</si>
  <si>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</si>
  <si>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</si>
  <si>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</si>
  <si>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</si>
  <si>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</si>
  <si>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</si>
  <si>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</si>
  <si>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</si>
  <si>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</si>
  <si>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</si>
  <si>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</si>
  <si>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</si>
  <si>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</si>
  <si>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</si>
  <si>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</si>
  <si>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</si>
  <si>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</si>
  <si>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</si>
  <si>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</si>
  <si>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</si>
  <si>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</si>
  <si>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</si>
  <si>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</si>
  <si>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</si>
  <si>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</si>
  <si>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</si>
  <si>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</si>
  <si>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</si>
  <si>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</si>
  <si>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</si>
  <si>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</si>
  <si>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</si>
  <si>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</si>
  <si>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</si>
  <si>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</si>
  <si>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</si>
  <si>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</si>
  <si>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</si>
  <si>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</si>
  <si>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</si>
  <si>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</si>
  <si>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</si>
  <si>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</si>
  <si>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</si>
  <si>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</si>
  <si>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</si>
  <si>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</si>
  <si>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</si>
  <si>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</si>
  <si>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</si>
  <si>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</si>
  <si>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</si>
  <si>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</si>
  <si>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</si>
  <si>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</si>
  <si>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</si>
  <si>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</si>
  <si>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</si>
  <si>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</si>
  <si>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</si>
  <si>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</si>
  <si>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</si>
  <si>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</si>
  <si>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</si>
  <si>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</si>
  <si>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</si>
  <si>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</si>
  <si>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</si>
  <si>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</si>
  <si>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</si>
  <si>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</si>
  <si>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</si>
  <si>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</si>
  <si>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</si>
  <si>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</si>
  <si>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</si>
  <si>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</si>
  <si>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</si>
  <si>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</si>
  <si>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</si>
  <si>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</si>
  <si>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</si>
  <si>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</si>
  <si>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</si>
  <si>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</si>
  <si>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</si>
  <si>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</si>
  <si>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</si>
  <si>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</si>
  <si>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</si>
  <si>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</si>
  <si>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</si>
  <si>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</si>
  <si>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</si>
  <si>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</si>
  <si>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</si>
  <si>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</si>
  <si>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</si>
  <si>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</si>
  <si>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</si>
  <si>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</si>
  <si>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</si>
  <si>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</si>
  <si>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</si>
  <si>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</si>
  <si>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</si>
  <si>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</si>
  <si>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</si>
  <si>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</si>
  <si>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</si>
  <si>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</si>
  <si>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</si>
  <si>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</si>
  <si>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</si>
  <si>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</si>
  <si>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</si>
  <si>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</si>
  <si>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</si>
  <si>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</si>
  <si>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</si>
  <si>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</si>
  <si>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</si>
  <si>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</si>
  <si>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</si>
  <si>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</si>
  <si>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</si>
  <si>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</si>
  <si>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</si>
  <si>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</si>
  <si>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</si>
  <si>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</si>
  <si>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</si>
  <si>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</si>
  <si>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</si>
  <si>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</si>
  <si>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</si>
  <si>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</si>
  <si>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</si>
  <si>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</si>
  <si>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</si>
  <si>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</si>
  <si>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</si>
  <si>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</si>
  <si>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</si>
  <si>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</si>
  <si>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</si>
  <si>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</si>
  <si>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</si>
  <si>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</si>
  <si>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</si>
  <si>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</si>
  <si>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</si>
  <si>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</si>
  <si>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</si>
  <si>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</si>
  <si>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</si>
  <si>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</si>
  <si>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</si>
  <si>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</si>
  <si>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</si>
  <si>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</si>
  <si>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</si>
  <si>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</si>
  <si>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</si>
  <si>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</si>
  <si>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</si>
  <si>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</si>
  <si>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</si>
  <si>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</si>
  <si>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</si>
  <si>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</si>
  <si>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</si>
  <si>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</si>
  <si>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</si>
  <si>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</si>
  <si>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</si>
  <si>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</si>
  <si>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</si>
  <si>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</si>
  <si>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</si>
  <si>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</si>
  <si>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</si>
  <si>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</si>
  <si>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</si>
  <si>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</si>
  <si>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</si>
  <si>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</si>
  <si>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</si>
  <si>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</si>
  <si>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</si>
  <si>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</si>
  <si>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</si>
  <si>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</si>
  <si>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</si>
  <si>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</si>
  <si>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</si>
  <si>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</si>
  <si>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</si>
  <si>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</si>
  <si>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</si>
  <si>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</si>
  <si>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</si>
  <si>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</si>
  <si>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</si>
  <si>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</si>
  <si>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</si>
  <si>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</si>
  <si>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</si>
  <si>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</si>
  <si>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</si>
  <si>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</si>
  <si>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</si>
  <si>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</si>
  <si>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</si>
  <si>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</si>
  <si>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</si>
  <si>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</si>
  <si>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</si>
  <si>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</si>
  <si>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</si>
  <si>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</si>
  <si>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</si>
  <si>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</si>
  <si>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</si>
  <si>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</si>
  <si>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</si>
  <si>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</si>
  <si>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</si>
  <si>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</si>
  <si>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</si>
  <si>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</si>
  <si>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</si>
  <si>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</si>
  <si>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</si>
  <si>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</si>
  <si>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</si>
  <si>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</si>
  <si>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</si>
  <si>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</si>
  <si>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</si>
  <si>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</si>
  <si>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</si>
  <si>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</si>
  <si>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</si>
  <si>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</si>
  <si>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</si>
  <si>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</si>
  <si>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</si>
  <si>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</si>
  <si>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</si>
  <si>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</si>
  <si>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</si>
  <si>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</si>
  <si>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</si>
  <si>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</si>
  <si>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</si>
  <si>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</si>
  <si>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</si>
  <si>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</si>
  <si>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</si>
  <si>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</si>
  <si>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</si>
  <si>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</si>
  <si>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</si>
  <si>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</si>
  <si>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</si>
  <si>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</si>
  <si>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</si>
  <si>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</si>
  <si>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</si>
  <si>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</si>
  <si>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</si>
  <si>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</si>
  <si>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</si>
  <si>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</si>
  <si>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</si>
  <si>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</si>
  <si>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</si>
  <si>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</si>
  <si>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</si>
  <si>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</si>
  <si>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</si>
  <si>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</si>
  <si>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</si>
  <si>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</si>
  <si>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</si>
  <si>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</si>
  <si>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</si>
  <si>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</si>
  <si>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</si>
  <si>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</si>
  <si>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</si>
  <si>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</si>
  <si>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</si>
  <si>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</si>
  <si>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</si>
  <si>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</si>
  <si>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</si>
  <si>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</si>
  <si>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</si>
  <si>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</si>
  <si>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</si>
  <si>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</si>
  <si>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</si>
  <si>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</si>
  <si>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</si>
  <si>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</si>
  <si>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</si>
  <si>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</si>
  <si>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</si>
  <si>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</si>
  <si>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</si>
  <si>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</si>
  <si>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</si>
  <si>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</si>
  <si>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</si>
  <si>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</si>
  <si>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</si>
  <si>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</si>
  <si>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</si>
  <si>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</si>
  <si>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</si>
  <si>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</si>
  <si>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</si>
  <si>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</si>
  <si>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</si>
  <si>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</si>
  <si>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</si>
  <si>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</si>
  <si>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</si>
  <si>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</si>
  <si>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</si>
  <si>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</si>
  <si>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</si>
  <si>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</si>
  <si>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</si>
  <si>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</si>
  <si>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</si>
  <si>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</si>
  <si>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</si>
  <si>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</si>
  <si>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</si>
  <si>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</si>
  <si>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</si>
  <si>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</si>
  <si>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</si>
  <si>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</si>
  <si>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</si>
  <si>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</si>
  <si>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</si>
  <si>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</si>
  <si>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</si>
  <si>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</si>
  <si>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</si>
  <si>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</si>
  <si>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</si>
  <si>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</si>
  <si>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</si>
  <si>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</si>
  <si>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</si>
  <si>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</si>
  <si>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</si>
  <si>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</si>
  <si>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</si>
  <si>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</si>
  <si>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</si>
  <si>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</si>
  <si>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</si>
  <si>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</si>
  <si>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</si>
  <si>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</si>
  <si>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</si>
  <si>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</si>
  <si>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</si>
  <si>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</si>
  <si>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</si>
  <si>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</si>
  <si>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</si>
  <si>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</si>
  <si>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</si>
  <si>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</si>
  <si>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</si>
  <si>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</si>
  <si>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</si>
  <si>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</si>
  <si>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</si>
  <si>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</si>
  <si>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</si>
  <si>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</si>
  <si>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</si>
  <si>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</si>
  <si>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</si>
  <si>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</si>
  <si>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</si>
  <si>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</si>
  <si>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</si>
  <si>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</si>
  <si>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</si>
  <si>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</si>
  <si>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</si>
  <si>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</si>
  <si>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</si>
  <si>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</si>
  <si>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</si>
  <si>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</si>
  <si>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</si>
  <si>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</si>
  <si>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</si>
  <si>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</si>
  <si>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</si>
  <si>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</si>
  <si>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</si>
  <si>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</si>
  <si>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</si>
  <si>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</si>
  <si>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</si>
  <si>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</si>
  <si>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</si>
  <si>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</si>
  <si>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</si>
  <si>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</si>
  <si>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</si>
  <si>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</si>
  <si>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</si>
  <si>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</si>
  <si>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</si>
  <si>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</si>
  <si>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</si>
  <si>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</si>
  <si>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</si>
  <si>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</si>
  <si>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</si>
  <si>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</si>
  <si>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</si>
  <si>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</si>
  <si>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</si>
  <si>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</si>
  <si>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</si>
  <si>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</si>
  <si>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</si>
  <si>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</si>
  <si>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</si>
  <si>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</si>
  <si>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</si>
  <si>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</si>
  <si>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</si>
  <si>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</si>
  <si>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</si>
  <si>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</si>
  <si>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</si>
  <si>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</si>
  <si>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</si>
  <si>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</si>
  <si>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</si>
  <si>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</si>
  <si>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</si>
  <si>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</si>
  <si>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</si>
  <si>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</si>
  <si>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</si>
  <si>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</si>
  <si>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</si>
  <si>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</si>
  <si>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</si>
  <si>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</si>
  <si>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</si>
  <si>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</si>
  <si>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</si>
  <si>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</si>
  <si>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</si>
  <si>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</si>
  <si>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</si>
  <si>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</si>
  <si>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</si>
  <si>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</si>
  <si>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</si>
  <si>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</si>
  <si>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</si>
  <si>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</si>
  <si>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</si>
  <si>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</si>
  <si>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</si>
  <si>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</si>
  <si>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</si>
  <si>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</si>
  <si>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</si>
  <si>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</si>
  <si>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</si>
  <si>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</si>
  <si>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</si>
  <si>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</si>
  <si>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</si>
  <si>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</si>
  <si>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</si>
  <si>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</si>
  <si>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</si>
  <si>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</si>
  <si>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</si>
  <si>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</si>
  <si>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</si>
  <si>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</si>
  <si>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</si>
  <si>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</si>
  <si>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</si>
  <si>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</si>
  <si>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</si>
  <si>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</si>
  <si>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</si>
  <si>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</si>
  <si>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</si>
  <si>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</si>
  <si>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</si>
  <si>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</si>
  <si>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</si>
  <si>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</si>
  <si>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</si>
  <si>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</si>
  <si>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</si>
  <si>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</si>
  <si>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</si>
  <si>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</si>
  <si>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</si>
  <si>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</si>
  <si>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</si>
  <si>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</si>
  <si>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</si>
  <si>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</si>
  <si>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</si>
  <si>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</si>
  <si>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</si>
  <si>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</si>
  <si>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</si>
  <si>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</si>
  <si>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</si>
  <si>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</si>
  <si>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</si>
  <si>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</si>
  <si>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</si>
  <si>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</si>
  <si>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</si>
  <si>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</si>
  <si>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</si>
  <si>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</si>
  <si>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</si>
  <si>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</si>
  <si>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</si>
  <si>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</si>
  <si>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</si>
  <si>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</si>
  <si>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</si>
  <si>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</si>
  <si>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</si>
  <si>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</si>
  <si>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</si>
  <si>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</si>
  <si>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</si>
  <si>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</si>
  <si>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</si>
  <si>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</si>
  <si>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</si>
  <si>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</si>
  <si>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</si>
  <si>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</si>
  <si>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</si>
  <si>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</si>
  <si>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</si>
  <si>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</si>
  <si>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</si>
  <si>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</si>
  <si>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</si>
  <si>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</si>
  <si>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</si>
  <si>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</si>
  <si>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</si>
  <si>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</si>
  <si>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</si>
  <si>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</si>
  <si>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</si>
  <si>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</si>
  <si>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</si>
  <si>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</si>
  <si>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</si>
  <si>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</si>
  <si>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</si>
  <si>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</si>
  <si>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</si>
  <si>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</si>
  <si>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</si>
  <si>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</si>
  <si>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</si>
  <si>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</si>
  <si>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</si>
  <si>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</si>
  <si>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</si>
  <si>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</si>
  <si>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</si>
  <si>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</si>
  <si>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</si>
  <si>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</si>
  <si>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</si>
  <si>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</si>
  <si>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</si>
  <si>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</si>
  <si>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</si>
  <si>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</si>
  <si>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</si>
  <si>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</si>
  <si>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</si>
  <si>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</si>
  <si>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</si>
  <si>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</si>
  <si>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</si>
  <si>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</si>
  <si>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</si>
  <si>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</si>
  <si>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</si>
  <si>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</si>
  <si>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</si>
  <si>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</si>
  <si>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</si>
  <si>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</si>
  <si>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</si>
  <si>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</si>
  <si>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</si>
  <si>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</si>
  <si>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</si>
  <si>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</si>
  <si>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</si>
  <si>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</si>
  <si>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</si>
  <si>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</si>
  <si>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</si>
  <si>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</si>
  <si>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</si>
  <si>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</si>
  <si>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</si>
  <si>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</si>
  <si>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</si>
  <si>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</si>
  <si>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</si>
  <si>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</si>
  <si>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</si>
  <si>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</si>
  <si>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</si>
  <si>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</si>
  <si>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</si>
  <si>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</si>
  <si>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</si>
  <si>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</si>
  <si>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</si>
  <si>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</si>
  <si>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</si>
  <si>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</si>
  <si>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</si>
  <si>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</si>
  <si>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</si>
  <si>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</si>
  <si>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</si>
  <si>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</si>
  <si>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</si>
  <si>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</si>
  <si>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</si>
  <si>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</si>
  <si>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</si>
  <si>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</si>
  <si>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</si>
  <si>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</si>
  <si>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</si>
  <si>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</si>
  <si>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</si>
  <si>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</si>
  <si>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</si>
  <si>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</si>
  <si>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</si>
  <si>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</si>
  <si>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</si>
  <si>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</si>
  <si>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</si>
  <si>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</si>
  <si>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</si>
  <si>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</si>
  <si>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</si>
  <si>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</si>
  <si>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</si>
  <si>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</si>
  <si>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</si>
  <si>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</si>
  <si>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</si>
  <si>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</si>
  <si>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</si>
  <si>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</si>
  <si>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</si>
  <si>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</si>
  <si>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</si>
  <si>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</si>
  <si>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</si>
  <si>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</si>
  <si>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</si>
  <si>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</si>
  <si>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</si>
  <si>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</si>
  <si>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</si>
  <si>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</si>
  <si>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</si>
  <si>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</si>
  <si>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</si>
  <si>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</si>
  <si>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</si>
  <si>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</si>
  <si>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</si>
  <si>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</si>
  <si>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</si>
  <si>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</si>
  <si>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</si>
  <si>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</si>
  <si>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</si>
  <si>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</si>
  <si>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</si>
  <si>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</si>
  <si>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</si>
  <si>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</si>
  <si>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</si>
  <si>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</si>
  <si>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</si>
  <si>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</si>
  <si>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</si>
  <si>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</si>
  <si>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</si>
  <si>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</si>
  <si>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</si>
  <si>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</si>
  <si>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</si>
  <si>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</si>
  <si>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</si>
  <si>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</si>
  <si>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</si>
  <si>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</si>
  <si>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</si>
  <si>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</si>
  <si>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</si>
  <si>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</si>
  <si>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</si>
  <si>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</si>
  <si>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</si>
  <si>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</si>
  <si>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</si>
  <si>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</si>
  <si>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</si>
  <si>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</si>
  <si>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</si>
  <si>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</si>
  <si>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</si>
  <si>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</si>
  <si>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</si>
  <si>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</si>
  <si>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</si>
  <si>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</si>
  <si>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</si>
  <si>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</si>
  <si>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</si>
  <si>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</si>
  <si>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</si>
  <si>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</si>
  <si>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</si>
  <si>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</si>
  <si>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</si>
  <si>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</si>
  <si>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</si>
  <si>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</si>
  <si>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</si>
  <si>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</si>
  <si>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</si>
  <si>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</si>
  <si>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</si>
  <si>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</si>
  <si>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</si>
  <si>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</si>
  <si>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</si>
  <si>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</si>
  <si>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</si>
  <si>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</si>
  <si>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</si>
  <si>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</si>
  <si>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</si>
  <si>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</si>
  <si>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</si>
  <si>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</si>
  <si>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</si>
  <si>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</si>
  <si>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</si>
  <si>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</si>
  <si>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</si>
  <si>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Newfields SchoolDistrict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</si>
</sst>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545" activePane="bottomRight" state="frozen"/>
      <selection pane="topRight" activeCell="F1" sqref="F1"/>
      <selection pane="bottomLeft" activeCell="A4" sqref="A4"/>
      <selection pane="bottomRight" activeCell="K345" sqref="K34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387</v>
      </c>
      <c r="C2" s="21">
        <v>387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203092.23</v>
      </c>
      <c r="G9" s="18"/>
      <c r="H9" s="18"/>
      <c r="I9" s="18"/>
      <c r="J9" s="67">
        <f>SUM(I438)</f>
        <v>32881.21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2582.9899999999998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205675.22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32881.21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22.98</v>
      </c>
      <c r="H22" s="18">
        <v>-22.98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12418.19</v>
      </c>
      <c r="G23" s="18">
        <v>-409.97</v>
      </c>
      <c r="H23" s="18">
        <v>-12008.22</v>
      </c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82706.8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81840.990000000005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274.51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177240.49000000002</v>
      </c>
      <c r="G32" s="41">
        <f>SUM(G22:G31)</f>
        <v>-386.99</v>
      </c>
      <c r="H32" s="41">
        <f>SUM(H22:H31)</f>
        <v>-12031.199999999999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32881.21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>
        <v>386.99</v>
      </c>
      <c r="H48" s="18">
        <v>12031.2</v>
      </c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28434.73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28434.73</v>
      </c>
      <c r="G50" s="41">
        <f>SUM(G35:G49)</f>
        <v>386.99</v>
      </c>
      <c r="H50" s="41">
        <f>SUM(H35:H49)</f>
        <v>12031.2</v>
      </c>
      <c r="I50" s="41">
        <f>SUM(I35:I49)</f>
        <v>0</v>
      </c>
      <c r="J50" s="41">
        <f>SUM(J35:J49)</f>
        <v>32881.21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205675.22000000003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32881.21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1433413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1433413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157.76</v>
      </c>
      <c r="G95" s="18"/>
      <c r="H95" s="18"/>
      <c r="I95" s="18"/>
      <c r="J95" s="18">
        <v>19.43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15089.75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1187.55</v>
      </c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741.75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899.51</v>
      </c>
      <c r="G110" s="41">
        <f>SUM(G95:G109)</f>
        <v>15089.75</v>
      </c>
      <c r="H110" s="41">
        <f>SUM(H95:H109)</f>
        <v>1187.55</v>
      </c>
      <c r="I110" s="41">
        <f>SUM(I95:I109)</f>
        <v>0</v>
      </c>
      <c r="J110" s="41">
        <f>SUM(J95:J109)</f>
        <v>19.43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1434312.51</v>
      </c>
      <c r="G111" s="41">
        <f>G59+G110</f>
        <v>15089.75</v>
      </c>
      <c r="H111" s="41">
        <f>H59+H78+H93+H110</f>
        <v>1187.55</v>
      </c>
      <c r="I111" s="41">
        <f>I59+I110</f>
        <v>0</v>
      </c>
      <c r="J111" s="41">
        <f>J59+J110</f>
        <v>19.43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297279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240933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538212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538212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16067.17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16067.17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16067.17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3000</v>
      </c>
      <c r="H178" s="18"/>
      <c r="I178" s="18"/>
      <c r="J178" s="18">
        <v>10000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3000</v>
      </c>
      <c r="H182" s="41">
        <f>SUM(H178:H181)</f>
        <v>0</v>
      </c>
      <c r="I182" s="41">
        <f>SUM(I178:I181)</f>
        <v>0</v>
      </c>
      <c r="J182" s="41">
        <f>SUM(J178:J181)</f>
        <v>10000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3000</v>
      </c>
      <c r="H191" s="41">
        <f>+H182+SUM(H187:H190)</f>
        <v>0</v>
      </c>
      <c r="I191" s="41">
        <f>I176+I182+SUM(I187:I190)</f>
        <v>0</v>
      </c>
      <c r="J191" s="41">
        <f>J182</f>
        <v>10000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1988591.68</v>
      </c>
      <c r="G192" s="47">
        <f>G111+G139+G168+G191</f>
        <v>18089.75</v>
      </c>
      <c r="H192" s="47">
        <f>H111+H139+H168+H191</f>
        <v>1187.55</v>
      </c>
      <c r="I192" s="47">
        <f>I111+I139+I168+I191</f>
        <v>0</v>
      </c>
      <c r="J192" s="47">
        <f>J111+J139+J191</f>
        <v>10019.43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644495.99</v>
      </c>
      <c r="G196" s="18">
        <v>272475.31</v>
      </c>
      <c r="H196" s="18">
        <v>282.08999999999997</v>
      </c>
      <c r="I196" s="18">
        <v>21378.77</v>
      </c>
      <c r="J196" s="18">
        <v>3123.57</v>
      </c>
      <c r="K196" s="18"/>
      <c r="L196" s="19">
        <f>SUM(F196:K196)</f>
        <v>941755.73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221021.66</v>
      </c>
      <c r="G197" s="18">
        <v>62497.52</v>
      </c>
      <c r="H197" s="18">
        <v>9316.68</v>
      </c>
      <c r="I197" s="18">
        <v>407.52</v>
      </c>
      <c r="J197" s="18">
        <v>3915.6</v>
      </c>
      <c r="K197" s="18"/>
      <c r="L197" s="19">
        <f>SUM(F197:K197)</f>
        <v>297158.98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>
        <v>4522</v>
      </c>
      <c r="L199" s="19">
        <f>SUM(F199:K199)</f>
        <v>4522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148448.9</v>
      </c>
      <c r="G201" s="18">
        <v>43080.06</v>
      </c>
      <c r="H201" s="18">
        <v>18628.689999999999</v>
      </c>
      <c r="I201" s="18">
        <v>1170.71</v>
      </c>
      <c r="J201" s="18"/>
      <c r="K201" s="18"/>
      <c r="L201" s="19">
        <f t="shared" ref="L201:L207" si="0">SUM(F201:K201)</f>
        <v>211328.36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31474.44</v>
      </c>
      <c r="G202" s="18">
        <v>17246.189999999999</v>
      </c>
      <c r="H202" s="18">
        <v>14006.21</v>
      </c>
      <c r="I202" s="18">
        <v>2325.08</v>
      </c>
      <c r="J202" s="18">
        <v>1895</v>
      </c>
      <c r="K202" s="18"/>
      <c r="L202" s="19">
        <f t="shared" si="0"/>
        <v>66946.92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2900</v>
      </c>
      <c r="G203" s="18">
        <v>1703.5</v>
      </c>
      <c r="H203" s="18">
        <v>54792.58</v>
      </c>
      <c r="I203" s="18"/>
      <c r="J203" s="18"/>
      <c r="K203" s="18"/>
      <c r="L203" s="19">
        <f t="shared" si="0"/>
        <v>59396.08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134018.4</v>
      </c>
      <c r="G204" s="18">
        <v>53169.75</v>
      </c>
      <c r="H204" s="18">
        <v>14481.05</v>
      </c>
      <c r="I204" s="18">
        <v>1481.77</v>
      </c>
      <c r="J204" s="18">
        <v>397.95</v>
      </c>
      <c r="K204" s="18">
        <v>89</v>
      </c>
      <c r="L204" s="19">
        <f t="shared" si="0"/>
        <v>203637.91999999998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53801.85</v>
      </c>
      <c r="G206" s="18">
        <v>13413.99</v>
      </c>
      <c r="H206" s="18">
        <v>79550.8</v>
      </c>
      <c r="I206" s="18">
        <v>62684.89</v>
      </c>
      <c r="J206" s="18">
        <v>1695.49</v>
      </c>
      <c r="K206" s="18"/>
      <c r="L206" s="19">
        <f t="shared" si="0"/>
        <v>211147.02000000002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70237.94</v>
      </c>
      <c r="I207" s="18"/>
      <c r="J207" s="18"/>
      <c r="K207" s="18"/>
      <c r="L207" s="19">
        <f t="shared" si="0"/>
        <v>70237.94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1236161.24</v>
      </c>
      <c r="G210" s="41">
        <f t="shared" si="1"/>
        <v>463586.32</v>
      </c>
      <c r="H210" s="41">
        <f t="shared" si="1"/>
        <v>261296.04</v>
      </c>
      <c r="I210" s="41">
        <f t="shared" si="1"/>
        <v>89448.74</v>
      </c>
      <c r="J210" s="41">
        <f t="shared" si="1"/>
        <v>11027.61</v>
      </c>
      <c r="K210" s="41">
        <f t="shared" si="1"/>
        <v>4611</v>
      </c>
      <c r="L210" s="41">
        <f t="shared" si="1"/>
        <v>2066130.9499999997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/>
      <c r="I232" s="18"/>
      <c r="J232" s="18"/>
      <c r="K232" s="18"/>
      <c r="L232" s="19">
        <f>SUM(F232:K232)</f>
        <v>0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0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0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1236161.24</v>
      </c>
      <c r="G256" s="41">
        <f t="shared" si="8"/>
        <v>463586.32</v>
      </c>
      <c r="H256" s="41">
        <f t="shared" si="8"/>
        <v>261296.04</v>
      </c>
      <c r="I256" s="41">
        <f t="shared" si="8"/>
        <v>89448.74</v>
      </c>
      <c r="J256" s="41">
        <f t="shared" si="8"/>
        <v>11027.61</v>
      </c>
      <c r="K256" s="41">
        <f t="shared" si="8"/>
        <v>4611</v>
      </c>
      <c r="L256" s="41">
        <f t="shared" si="8"/>
        <v>2066130.9499999997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3000</v>
      </c>
      <c r="L262" s="19">
        <f>SUM(F262:K262)</f>
        <v>3000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</v>
      </c>
      <c r="L265" s="19">
        <f t="shared" si="9"/>
        <v>10000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13000</v>
      </c>
      <c r="L269" s="41">
        <f t="shared" si="9"/>
        <v>13000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1236161.24</v>
      </c>
      <c r="G270" s="42">
        <f t="shared" si="11"/>
        <v>463586.32</v>
      </c>
      <c r="H270" s="42">
        <f t="shared" si="11"/>
        <v>261296.04</v>
      </c>
      <c r="I270" s="42">
        <f t="shared" si="11"/>
        <v>89448.74</v>
      </c>
      <c r="J270" s="42">
        <f t="shared" si="11"/>
        <v>11027.61</v>
      </c>
      <c r="K270" s="42">
        <f t="shared" si="11"/>
        <v>17611</v>
      </c>
      <c r="L270" s="42">
        <f t="shared" si="11"/>
        <v>2079130.9499999997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>
        <v>2741.94</v>
      </c>
      <c r="J275" s="18"/>
      <c r="K275" s="18"/>
      <c r="L275" s="19">
        <f>SUM(F275:K275)</f>
        <v>2741.94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2741.94</v>
      </c>
      <c r="J289" s="42">
        <f t="shared" si="13"/>
        <v>0</v>
      </c>
      <c r="K289" s="42">
        <f t="shared" si="13"/>
        <v>0</v>
      </c>
      <c r="L289" s="41">
        <f t="shared" si="13"/>
        <v>2741.94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2741.94</v>
      </c>
      <c r="J337" s="41">
        <f t="shared" si="20"/>
        <v>0</v>
      </c>
      <c r="K337" s="41">
        <f t="shared" si="20"/>
        <v>0</v>
      </c>
      <c r="L337" s="41">
        <f t="shared" si="20"/>
        <v>2741.94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 t="s">
        <v>287</v>
      </c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2741.94</v>
      </c>
      <c r="J351" s="41">
        <f>J337</f>
        <v>0</v>
      </c>
      <c r="K351" s="47">
        <f>K337+K350</f>
        <v>0</v>
      </c>
      <c r="L351" s="41">
        <f>L337+L350</f>
        <v>2741.94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3768</v>
      </c>
      <c r="G357" s="18">
        <v>259.43</v>
      </c>
      <c r="H357" s="18"/>
      <c r="I357" s="18">
        <v>11508.61</v>
      </c>
      <c r="J357" s="18"/>
      <c r="K357" s="18"/>
      <c r="L357" s="13">
        <f>SUM(F357:K357)</f>
        <v>15536.04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3768</v>
      </c>
      <c r="G361" s="47">
        <f t="shared" si="22"/>
        <v>259.43</v>
      </c>
      <c r="H361" s="47">
        <f t="shared" si="22"/>
        <v>0</v>
      </c>
      <c r="I361" s="47">
        <f t="shared" si="22"/>
        <v>11508.61</v>
      </c>
      <c r="J361" s="47">
        <f t="shared" si="22"/>
        <v>0</v>
      </c>
      <c r="K361" s="47">
        <f t="shared" si="22"/>
        <v>0</v>
      </c>
      <c r="L361" s="47">
        <f t="shared" si="22"/>
        <v>15536.04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11508.61</v>
      </c>
      <c r="G366" s="18"/>
      <c r="H366" s="18"/>
      <c r="I366" s="56">
        <f>SUM(F366:H366)</f>
        <v>11508.61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11508.61</v>
      </c>
      <c r="G368" s="47">
        <f>SUM(G366:G367)</f>
        <v>0</v>
      </c>
      <c r="H368" s="47">
        <f>SUM(H366:H367)</f>
        <v>0</v>
      </c>
      <c r="I368" s="47">
        <f>SUM(I366:I367)</f>
        <v>11508.61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10000</v>
      </c>
      <c r="H395" s="18">
        <v>19.43</v>
      </c>
      <c r="I395" s="18"/>
      <c r="J395" s="24" t="s">
        <v>289</v>
      </c>
      <c r="K395" s="24" t="s">
        <v>289</v>
      </c>
      <c r="L395" s="56">
        <f t="shared" si="26"/>
        <v>10019.43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10000</v>
      </c>
      <c r="H400" s="47">
        <f>SUM(H394:H399)</f>
        <v>19.43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10019.43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</v>
      </c>
      <c r="H407" s="47">
        <f>H392+H400+H406</f>
        <v>19.43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10019.43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32881.21</v>
      </c>
      <c r="G438" s="18"/>
      <c r="H438" s="18"/>
      <c r="I438" s="56">
        <f t="shared" ref="I438:I444" si="33">SUM(F438:H438)</f>
        <v>32881.21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32881.21</v>
      </c>
      <c r="G445" s="13">
        <f>SUM(G438:G444)</f>
        <v>0</v>
      </c>
      <c r="H445" s="13">
        <f>SUM(H438:H444)</f>
        <v>0</v>
      </c>
      <c r="I445" s="13">
        <f>SUM(I438:I444)</f>
        <v>32881.21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32881.21</v>
      </c>
      <c r="G458" s="18"/>
      <c r="H458" s="18"/>
      <c r="I458" s="56">
        <f t="shared" si="34"/>
        <v>32881.21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32881.21</v>
      </c>
      <c r="G459" s="83">
        <f>SUM(G453:G458)</f>
        <v>0</v>
      </c>
      <c r="H459" s="83">
        <f>SUM(H453:H458)</f>
        <v>0</v>
      </c>
      <c r="I459" s="83">
        <f>SUM(I453:I458)</f>
        <v>32881.21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32881.21</v>
      </c>
      <c r="G460" s="42">
        <f>G451+G459</f>
        <v>0</v>
      </c>
      <c r="H460" s="42">
        <f>H451+H459</f>
        <v>0</v>
      </c>
      <c r="I460" s="42">
        <f>I451+I459</f>
        <v>32881.21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118974</v>
      </c>
      <c r="G464" s="18">
        <v>-2166.7199999999998</v>
      </c>
      <c r="H464" s="18">
        <v>13585.59</v>
      </c>
      <c r="I464" s="18"/>
      <c r="J464" s="18">
        <v>22861.78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1988591.68</v>
      </c>
      <c r="G467" s="18">
        <v>18089.75</v>
      </c>
      <c r="H467" s="18">
        <v>1187.55</v>
      </c>
      <c r="I467" s="18"/>
      <c r="J467" s="18">
        <v>10019.43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 t="s">
        <v>287</v>
      </c>
      <c r="G468" s="18" t="s">
        <v>287</v>
      </c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1988591.68</v>
      </c>
      <c r="G469" s="53">
        <f>SUM(G467:G468)</f>
        <v>18089.75</v>
      </c>
      <c r="H469" s="53">
        <f>SUM(H467:H468)</f>
        <v>1187.55</v>
      </c>
      <c r="I469" s="53">
        <f>SUM(I467:I468)</f>
        <v>0</v>
      </c>
      <c r="J469" s="53">
        <f>SUM(J467:J468)</f>
        <v>10019.43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2079130.95</v>
      </c>
      <c r="G471" s="18">
        <v>15536.04</v>
      </c>
      <c r="H471" s="18">
        <v>2741.94</v>
      </c>
      <c r="I471" s="18"/>
      <c r="J471" s="18"/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 t="s">
        <v>287</v>
      </c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2079130.95</v>
      </c>
      <c r="G473" s="53">
        <f>SUM(G471:G472)</f>
        <v>15536.04</v>
      </c>
      <c r="H473" s="53">
        <f>SUM(H471:H472)</f>
        <v>2741.94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28434.729999999749</v>
      </c>
      <c r="G475" s="53">
        <f>(G464+G469)- G473</f>
        <v>386.98999999999978</v>
      </c>
      <c r="H475" s="53">
        <f>(H464+H469)- H473</f>
        <v>12031.199999999999</v>
      </c>
      <c r="I475" s="53">
        <f>(I464+I469)- I473</f>
        <v>0</v>
      </c>
      <c r="J475" s="53">
        <f>(J464+J469)- J473</f>
        <v>32881.21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221021.66</v>
      </c>
      <c r="G520" s="18">
        <v>62497.52</v>
      </c>
      <c r="H520" s="18">
        <v>9316.68</v>
      </c>
      <c r="I520" s="18">
        <v>407.52</v>
      </c>
      <c r="J520" s="18">
        <v>3915.6</v>
      </c>
      <c r="K520" s="18"/>
      <c r="L520" s="88">
        <f>SUM(F520:K520)</f>
        <v>297158.98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221021.66</v>
      </c>
      <c r="G523" s="108">
        <f t="shared" ref="G523:L523" si="36">SUM(G520:G522)</f>
        <v>62497.52</v>
      </c>
      <c r="H523" s="108">
        <f t="shared" si="36"/>
        <v>9316.68</v>
      </c>
      <c r="I523" s="108">
        <f t="shared" si="36"/>
        <v>407.52</v>
      </c>
      <c r="J523" s="108">
        <f t="shared" si="36"/>
        <v>3915.6</v>
      </c>
      <c r="K523" s="108">
        <f t="shared" si="36"/>
        <v>0</v>
      </c>
      <c r="L523" s="89">
        <f t="shared" si="36"/>
        <v>297158.98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148448.9</v>
      </c>
      <c r="G525" s="18">
        <v>38596.71</v>
      </c>
      <c r="H525" s="18">
        <v>18491.79</v>
      </c>
      <c r="I525" s="18">
        <v>1170.71</v>
      </c>
      <c r="J525" s="18"/>
      <c r="K525" s="18"/>
      <c r="L525" s="88">
        <f>SUM(F525:K525)</f>
        <v>206708.11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148448.9</v>
      </c>
      <c r="G528" s="89">
        <f t="shared" ref="G528:L528" si="37">SUM(G525:G527)</f>
        <v>38596.71</v>
      </c>
      <c r="H528" s="89">
        <f t="shared" si="37"/>
        <v>18491.79</v>
      </c>
      <c r="I528" s="89">
        <f t="shared" si="37"/>
        <v>1170.71</v>
      </c>
      <c r="J528" s="89">
        <f t="shared" si="37"/>
        <v>0</v>
      </c>
      <c r="K528" s="89">
        <f t="shared" si="37"/>
        <v>0</v>
      </c>
      <c r="L528" s="89">
        <f t="shared" si="37"/>
        <v>206708.11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34844.78</v>
      </c>
      <c r="G530" s="18">
        <v>9059.64</v>
      </c>
      <c r="H530" s="18">
        <v>2461.7800000000002</v>
      </c>
      <c r="I530" s="18">
        <v>385.26</v>
      </c>
      <c r="J530" s="18">
        <v>23.14</v>
      </c>
      <c r="K530" s="18"/>
      <c r="L530" s="88">
        <f>SUM(F530:K530)</f>
        <v>46774.6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 t="s">
        <v>287</v>
      </c>
      <c r="K531" s="18"/>
      <c r="L531" s="88">
        <f>SUM(F531:K531)</f>
        <v>0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34844.78</v>
      </c>
      <c r="G533" s="89">
        <f t="shared" ref="G533:L533" si="38">SUM(G530:G532)</f>
        <v>9059.64</v>
      </c>
      <c r="H533" s="89">
        <f t="shared" si="38"/>
        <v>2461.7800000000002</v>
      </c>
      <c r="I533" s="89">
        <f t="shared" si="38"/>
        <v>385.26</v>
      </c>
      <c r="J533" s="89">
        <f t="shared" si="38"/>
        <v>23.14</v>
      </c>
      <c r="K533" s="89">
        <f t="shared" si="38"/>
        <v>0</v>
      </c>
      <c r="L533" s="89">
        <f t="shared" si="38"/>
        <v>46774.6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126</v>
      </c>
      <c r="I535" s="18"/>
      <c r="J535" s="18"/>
      <c r="K535" s="18"/>
      <c r="L535" s="88">
        <f>SUM(F535:K535)</f>
        <v>126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126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126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17943.04</v>
      </c>
      <c r="I540" s="18"/>
      <c r="J540" s="18"/>
      <c r="K540" s="18"/>
      <c r="L540" s="88">
        <f>SUM(F540:K540)</f>
        <v>17943.04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17943.04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17943.04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404315.33999999997</v>
      </c>
      <c r="G544" s="89">
        <f t="shared" ref="G544:L544" si="41">G523+G528+G533+G538+G543</f>
        <v>110153.87</v>
      </c>
      <c r="H544" s="89">
        <f t="shared" si="41"/>
        <v>48339.29</v>
      </c>
      <c r="I544" s="89">
        <f t="shared" si="41"/>
        <v>1963.49</v>
      </c>
      <c r="J544" s="89">
        <f t="shared" si="41"/>
        <v>3938.74</v>
      </c>
      <c r="K544" s="89">
        <f t="shared" si="41"/>
        <v>0</v>
      </c>
      <c r="L544" s="89">
        <f t="shared" si="41"/>
        <v>568710.73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297158.98</v>
      </c>
      <c r="G548" s="87">
        <f>L525</f>
        <v>206708.11</v>
      </c>
      <c r="H548" s="87">
        <f>L530</f>
        <v>46774.6</v>
      </c>
      <c r="I548" s="87">
        <f>L535</f>
        <v>126</v>
      </c>
      <c r="J548" s="87">
        <f>L540</f>
        <v>17943.04</v>
      </c>
      <c r="K548" s="87">
        <f>SUM(F548:J548)</f>
        <v>568710.73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297158.98</v>
      </c>
      <c r="G551" s="89">
        <f t="shared" si="42"/>
        <v>206708.11</v>
      </c>
      <c r="H551" s="89">
        <f t="shared" si="42"/>
        <v>46774.6</v>
      </c>
      <c r="I551" s="89">
        <f t="shared" si="42"/>
        <v>126</v>
      </c>
      <c r="J551" s="89">
        <f t="shared" si="42"/>
        <v>17943.04</v>
      </c>
      <c r="K551" s="89">
        <f t="shared" si="42"/>
        <v>568710.73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49842</v>
      </c>
      <c r="I590" s="18"/>
      <c r="J590" s="18"/>
      <c r="K590" s="104">
        <f t="shared" ref="K590:K596" si="48">SUM(H590:J590)</f>
        <v>49842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17943.04</v>
      </c>
      <c r="I591" s="18"/>
      <c r="J591" s="18"/>
      <c r="K591" s="104">
        <f t="shared" si="48"/>
        <v>17943.04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2452.9</v>
      </c>
      <c r="I594" s="18"/>
      <c r="J594" s="18"/>
      <c r="K594" s="104">
        <f t="shared" si="48"/>
        <v>2452.9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70237.94</v>
      </c>
      <c r="I597" s="108">
        <f>SUM(I590:I596)</f>
        <v>0</v>
      </c>
      <c r="J597" s="108">
        <f>SUM(J590:J596)</f>
        <v>0</v>
      </c>
      <c r="K597" s="108">
        <f>SUM(K590:K596)</f>
        <v>70237.94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11027.61</v>
      </c>
      <c r="I603" s="18"/>
      <c r="J603" s="18"/>
      <c r="K603" s="104">
        <f>SUM(H603:J603)</f>
        <v>11027.61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11027.61</v>
      </c>
      <c r="I604" s="108">
        <f>SUM(I601:I603)</f>
        <v>0</v>
      </c>
      <c r="J604" s="108">
        <f>SUM(J601:J603)</f>
        <v>0</v>
      </c>
      <c r="K604" s="108">
        <f>SUM(K601:K603)</f>
        <v>11027.61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205675.22</v>
      </c>
      <c r="H616" s="109">
        <f>SUM(F51)</f>
        <v>205675.22000000003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32881.21</v>
      </c>
      <c r="H620" s="109">
        <f>SUM(J51)</f>
        <v>32881.21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28434.73</v>
      </c>
      <c r="H621" s="109">
        <f>F475</f>
        <v>28434.729999999749</v>
      </c>
      <c r="I621" s="121" t="s">
        <v>101</v>
      </c>
      <c r="J621" s="109">
        <f t="shared" ref="J621:J654" si="50">G621-H621</f>
        <v>2.5102053768932819E-10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386.99</v>
      </c>
      <c r="H622" s="109">
        <f>G475</f>
        <v>386.98999999999978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12031.2</v>
      </c>
      <c r="H623" s="109">
        <f>H475</f>
        <v>12031.199999999999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32881.21</v>
      </c>
      <c r="H625" s="109">
        <f>J475</f>
        <v>32881.21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1988591.68</v>
      </c>
      <c r="H626" s="104">
        <f>SUM(F467)</f>
        <v>1988591.68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18089.75</v>
      </c>
      <c r="H627" s="104">
        <f>SUM(G467)</f>
        <v>18089.75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1187.55</v>
      </c>
      <c r="H628" s="104">
        <f>SUM(H467)</f>
        <v>1187.55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10019.43</v>
      </c>
      <c r="H630" s="104">
        <f>SUM(J467)</f>
        <v>10019.43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2079130.9499999997</v>
      </c>
      <c r="H631" s="104">
        <f>SUM(F471)</f>
        <v>2079130.95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2741.94</v>
      </c>
      <c r="H632" s="104">
        <f>SUM(H471)</f>
        <v>2741.94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11508.61</v>
      </c>
      <c r="H633" s="104">
        <f>I368</f>
        <v>11508.61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15536.04</v>
      </c>
      <c r="H634" s="104">
        <f>SUM(G471)</f>
        <v>15536.04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10019.43</v>
      </c>
      <c r="H636" s="164">
        <f>SUM(J467)</f>
        <v>10019.43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32881.21</v>
      </c>
      <c r="H638" s="104">
        <f>SUM(F460)</f>
        <v>32881.21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32881.21</v>
      </c>
      <c r="H641" s="104">
        <f>SUM(I460)</f>
        <v>32881.21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19.43</v>
      </c>
      <c r="H643" s="104">
        <f>H407</f>
        <v>19.43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</v>
      </c>
      <c r="H644" s="104">
        <f>G407</f>
        <v>10000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10019.43</v>
      </c>
      <c r="H645" s="104">
        <f>L407</f>
        <v>10019.43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70237.94</v>
      </c>
      <c r="H646" s="104">
        <f>L207+L225+L243</f>
        <v>70237.94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11027.61</v>
      </c>
      <c r="H647" s="104">
        <f>(J256+J337)-(J254+J335)</f>
        <v>11027.61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70237.94</v>
      </c>
      <c r="H648" s="104">
        <f>H597</f>
        <v>70237.94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3000</v>
      </c>
      <c r="H651" s="104">
        <f>K262+K344</f>
        <v>3000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</v>
      </c>
      <c r="H654" s="104">
        <f>K265+K346</f>
        <v>10000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2084408.9299999997</v>
      </c>
      <c r="G659" s="19">
        <f>(L228+L308+L358)</f>
        <v>0</v>
      </c>
      <c r="H659" s="19">
        <f>(L246+L327+L359)</f>
        <v>0</v>
      </c>
      <c r="I659" s="19">
        <f>SUM(F659:H659)</f>
        <v>2084408.9299999997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15089.75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15089.75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70237.94</v>
      </c>
      <c r="G661" s="19">
        <f>(L225+L305)-(J225+J305)</f>
        <v>0</v>
      </c>
      <c r="H661" s="19">
        <f>(L243+L324)-(J243+J324)</f>
        <v>0</v>
      </c>
      <c r="I661" s="19">
        <f>SUM(F661:H661)</f>
        <v>70237.94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11027.61</v>
      </c>
      <c r="G662" s="199">
        <f>SUM(G574:G586)+SUM(I601:I603)+L611</f>
        <v>0</v>
      </c>
      <c r="H662" s="199">
        <f>SUM(H574:H586)+SUM(J601:J603)+L612</f>
        <v>0</v>
      </c>
      <c r="I662" s="19">
        <f>SUM(F662:H662)</f>
        <v>11027.61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1988053.6299999997</v>
      </c>
      <c r="G663" s="19">
        <f>G659-SUM(G660:G662)</f>
        <v>0</v>
      </c>
      <c r="H663" s="19">
        <f>H659-SUM(H660:H662)</f>
        <v>0</v>
      </c>
      <c r="I663" s="19">
        <f>I659-SUM(I660:I662)</f>
        <v>1988053.6299999997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125.18</v>
      </c>
      <c r="G664" s="248"/>
      <c r="H664" s="248"/>
      <c r="I664" s="19">
        <f>SUM(F664:H664)</f>
        <v>125.18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15881.56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15881.56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15881.56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15881.56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4" zoomScale="125" zoomScaleNormal="125" workbookViewId="0">
      <selection activeCell="H13" sqref="H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Newfields SchoolDistrict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644495.99</v>
      </c>
      <c r="C9" s="229">
        <f>'DOE25'!G196+'DOE25'!G214+'DOE25'!G232+'DOE25'!G275+'DOE25'!G294+'DOE25'!G313</f>
        <v>272475.31</v>
      </c>
    </row>
    <row r="10" spans="1:3" x14ac:dyDescent="0.2">
      <c r="A10" t="s">
        <v>779</v>
      </c>
      <c r="B10" s="240">
        <v>627396.4</v>
      </c>
      <c r="C10" s="240">
        <v>270491.76</v>
      </c>
    </row>
    <row r="11" spans="1:3" x14ac:dyDescent="0.2">
      <c r="A11" t="s">
        <v>780</v>
      </c>
      <c r="B11" s="240">
        <v>3324.3</v>
      </c>
      <c r="C11" s="240">
        <v>385.62</v>
      </c>
    </row>
    <row r="12" spans="1:3" x14ac:dyDescent="0.2">
      <c r="A12" t="s">
        <v>781</v>
      </c>
      <c r="B12" s="240">
        <v>13775.29</v>
      </c>
      <c r="C12" s="240">
        <v>1597.93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644495.99000000011</v>
      </c>
      <c r="C13" s="231">
        <f>SUM(C10:C12)</f>
        <v>272475.31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221021.66</v>
      </c>
      <c r="C18" s="229">
        <f>'DOE25'!G197+'DOE25'!G215+'DOE25'!G233+'DOE25'!G276+'DOE25'!G295+'DOE25'!G314</f>
        <v>62497.52</v>
      </c>
    </row>
    <row r="19" spans="1:3" x14ac:dyDescent="0.2">
      <c r="A19" t="s">
        <v>779</v>
      </c>
      <c r="B19" s="240">
        <v>91813</v>
      </c>
      <c r="C19" s="240">
        <v>23871.38</v>
      </c>
    </row>
    <row r="20" spans="1:3" x14ac:dyDescent="0.2">
      <c r="A20" t="s">
        <v>780</v>
      </c>
      <c r="B20" s="240">
        <v>129208.66</v>
      </c>
      <c r="C20" s="240">
        <v>38626.14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221021.66</v>
      </c>
      <c r="C22" s="231">
        <f>SUM(C19:C21)</f>
        <v>62497.520000000004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31" activePane="bottomLeft" state="frozen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Newfields SchoolDistrict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1243436.71</v>
      </c>
      <c r="D5" s="20">
        <f>SUM('DOE25'!L196:L199)+SUM('DOE25'!L214:L217)+SUM('DOE25'!L232:L235)-F5-G5</f>
        <v>1231875.54</v>
      </c>
      <c r="E5" s="243"/>
      <c r="F5" s="255">
        <f>SUM('DOE25'!J196:J199)+SUM('DOE25'!J214:J217)+SUM('DOE25'!J232:J235)</f>
        <v>7039.17</v>
      </c>
      <c r="G5" s="53">
        <f>SUM('DOE25'!K196:K199)+SUM('DOE25'!K214:K217)+SUM('DOE25'!K232:K235)</f>
        <v>4522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211328.36</v>
      </c>
      <c r="D6" s="20">
        <f>'DOE25'!L201+'DOE25'!L219+'DOE25'!L237-F6-G6</f>
        <v>211328.36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66946.92</v>
      </c>
      <c r="D7" s="20">
        <f>'DOE25'!L202+'DOE25'!L220+'DOE25'!L238-F7-G7</f>
        <v>65051.92</v>
      </c>
      <c r="E7" s="243"/>
      <c r="F7" s="255">
        <f>'DOE25'!J202+'DOE25'!J220+'DOE25'!J238</f>
        <v>1895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51459.87</v>
      </c>
      <c r="D8" s="243"/>
      <c r="E8" s="20">
        <f>'DOE25'!L203+'DOE25'!L221+'DOE25'!L239-F8-G8-D9-D11</f>
        <v>51459.87</v>
      </c>
      <c r="F8" s="255">
        <f>'DOE25'!J203+'DOE25'!J221+'DOE25'!J239</f>
        <v>0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936.58</v>
      </c>
      <c r="D9" s="244">
        <v>936.58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6646</v>
      </c>
      <c r="D10" s="243"/>
      <c r="E10" s="244">
        <v>6646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6999.63</v>
      </c>
      <c r="D11" s="244">
        <v>6999.63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203637.91999999998</v>
      </c>
      <c r="D12" s="20">
        <f>'DOE25'!L204+'DOE25'!L222+'DOE25'!L240-F12-G12</f>
        <v>203150.96999999997</v>
      </c>
      <c r="E12" s="243"/>
      <c r="F12" s="255">
        <f>'DOE25'!J204+'DOE25'!J222+'DOE25'!J240</f>
        <v>397.95</v>
      </c>
      <c r="G12" s="53">
        <f>'DOE25'!K204+'DOE25'!K222+'DOE25'!K240</f>
        <v>89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211147.02000000002</v>
      </c>
      <c r="D14" s="20">
        <f>'DOE25'!L206+'DOE25'!L224+'DOE25'!L242-F14-G14</f>
        <v>209451.53000000003</v>
      </c>
      <c r="E14" s="243"/>
      <c r="F14" s="255">
        <f>'DOE25'!J206+'DOE25'!J224+'DOE25'!J242</f>
        <v>1695.49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70237.94</v>
      </c>
      <c r="D15" s="20">
        <f>'DOE25'!L207+'DOE25'!L225+'DOE25'!L243-F15-G15</f>
        <v>70237.94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4027.4300000000003</v>
      </c>
      <c r="D29" s="20">
        <f>'DOE25'!L357+'DOE25'!L358+'DOE25'!L359-'DOE25'!I366-F29-G29</f>
        <v>4027.4300000000003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2741.94</v>
      </c>
      <c r="D31" s="20">
        <f>'DOE25'!L289+'DOE25'!L308+'DOE25'!L327+'DOE25'!L332+'DOE25'!L333+'DOE25'!L334-F31-G31</f>
        <v>2741.94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2005801.8399999996</v>
      </c>
      <c r="E33" s="246">
        <f>SUM(E5:E31)</f>
        <v>58105.87</v>
      </c>
      <c r="F33" s="246">
        <f>SUM(F5:F31)</f>
        <v>11027.61</v>
      </c>
      <c r="G33" s="246">
        <f>SUM(G5:G31)</f>
        <v>4611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58105.87</v>
      </c>
      <c r="E35" s="249"/>
    </row>
    <row r="36" spans="2:8" ht="12" thickTop="1" x14ac:dyDescent="0.2">
      <c r="B36" t="s">
        <v>815</v>
      </c>
      <c r="D36" s="20">
        <f>D33</f>
        <v>2005801.8399999996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51" activePane="bottomLeft" state="frozen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Newfields SchoolDistrict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203092.23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32881.21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2582.9899999999998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205675.22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32881.21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22.98</v>
      </c>
      <c r="E21" s="95">
        <f>'DOE25'!H22</f>
        <v>-22.98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12418.19</v>
      </c>
      <c r="D22" s="95">
        <f>'DOE25'!G23</f>
        <v>-409.97</v>
      </c>
      <c r="E22" s="95">
        <f>'DOE25'!H23</f>
        <v>-12008.22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82706.8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81840.990000000005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274.51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177240.49000000002</v>
      </c>
      <c r="D31" s="41">
        <f>SUM(D21:D30)</f>
        <v>-386.99</v>
      </c>
      <c r="E31" s="41">
        <f>SUM(E21:E30)</f>
        <v>-12031.199999999999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32881.21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386.99</v>
      </c>
      <c r="E47" s="95">
        <f>'DOE25'!H48</f>
        <v>12031.2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28434.73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28434.73</v>
      </c>
      <c r="D49" s="41">
        <f>SUM(D34:D48)</f>
        <v>386.99</v>
      </c>
      <c r="E49" s="41">
        <f>SUM(E34:E48)</f>
        <v>12031.2</v>
      </c>
      <c r="F49" s="41">
        <f>SUM(F34:F48)</f>
        <v>0</v>
      </c>
      <c r="G49" s="41">
        <f>SUM(G34:G48)</f>
        <v>32881.21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205675.22000000003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32881.21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1433413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157.76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19.43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15089.75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741.75</v>
      </c>
      <c r="D60" s="95">
        <f>SUM('DOE25'!G97:G109)</f>
        <v>0</v>
      </c>
      <c r="E60" s="95">
        <f>SUM('DOE25'!H97:H109)</f>
        <v>1187.55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899.51</v>
      </c>
      <c r="D61" s="130">
        <f>SUM(D56:D60)</f>
        <v>15089.75</v>
      </c>
      <c r="E61" s="130">
        <f>SUM(E56:E60)</f>
        <v>1187.55</v>
      </c>
      <c r="F61" s="130">
        <f>SUM(F56:F60)</f>
        <v>0</v>
      </c>
      <c r="G61" s="130">
        <f>SUM(G56:G60)</f>
        <v>19.43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1434312.51</v>
      </c>
      <c r="D62" s="22">
        <f>D55+D61</f>
        <v>15089.75</v>
      </c>
      <c r="E62" s="22">
        <f>E55+E61</f>
        <v>1187.55</v>
      </c>
      <c r="F62" s="22">
        <f>F55+F61</f>
        <v>0</v>
      </c>
      <c r="G62" s="22">
        <f>G55+G61</f>
        <v>19.43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297279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240933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538212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538212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16067.17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16067.17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3000</v>
      </c>
      <c r="E95" s="95">
        <f>'DOE25'!H178</f>
        <v>0</v>
      </c>
      <c r="F95" s="95">
        <f>'DOE25'!I178</f>
        <v>0</v>
      </c>
      <c r="G95" s="95">
        <f>'DOE25'!J178</f>
        <v>10000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3000</v>
      </c>
      <c r="E102" s="86">
        <f>SUM(E92:E101)</f>
        <v>0</v>
      </c>
      <c r="F102" s="86">
        <f>SUM(F92:F101)</f>
        <v>0</v>
      </c>
      <c r="G102" s="86">
        <f>SUM(G92:G101)</f>
        <v>10000</v>
      </c>
    </row>
    <row r="103" spans="1:7" ht="12.75" thickTop="1" thickBot="1" x14ac:dyDescent="0.25">
      <c r="A103" s="33" t="s">
        <v>765</v>
      </c>
      <c r="C103" s="86">
        <f>C62+C80+C90+C102</f>
        <v>1988591.68</v>
      </c>
      <c r="D103" s="86">
        <f>D62+D80+D90+D102</f>
        <v>18089.75</v>
      </c>
      <c r="E103" s="86">
        <f>E62+E80+E90+E102</f>
        <v>1187.55</v>
      </c>
      <c r="F103" s="86">
        <f>F62+F80+F90+F102</f>
        <v>0</v>
      </c>
      <c r="G103" s="86">
        <f>G62+G80+G102</f>
        <v>10019.43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941755.73</v>
      </c>
      <c r="D108" s="24" t="s">
        <v>289</v>
      </c>
      <c r="E108" s="95">
        <f>('DOE25'!L275)+('DOE25'!L294)+('DOE25'!L313)</f>
        <v>2741.94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297158.98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4522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1243436.71</v>
      </c>
      <c r="D114" s="86">
        <f>SUM(D108:D113)</f>
        <v>0</v>
      </c>
      <c r="E114" s="86">
        <f>SUM(E108:E113)</f>
        <v>2741.94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211328.36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66946.92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59396.08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203637.91999999998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211147.02000000002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70237.94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15536.04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822694.24</v>
      </c>
      <c r="D127" s="86">
        <f>SUM(D117:D126)</f>
        <v>15536.04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10019.43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-19.430000000000291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13000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2079130.95</v>
      </c>
      <c r="D144" s="86">
        <f>(D114+D127+D143)</f>
        <v>15536.04</v>
      </c>
      <c r="E144" s="86">
        <f>(E114+E127+E143)</f>
        <v>2741.94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Newfields SchoolDistrict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15882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15882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944498</v>
      </c>
      <c r="D10" s="182">
        <f>ROUND((C10/$C$28)*100,1)</f>
        <v>45.6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297159</v>
      </c>
      <c r="D11" s="182">
        <f>ROUND((C11/$C$28)*100,1)</f>
        <v>14.4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4522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211328</v>
      </c>
      <c r="D15" s="182">
        <f t="shared" ref="D15:D27" si="0">ROUND((C15/$C$28)*100,1)</f>
        <v>10.199999999999999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66947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59396</v>
      </c>
      <c r="D17" s="182">
        <f t="shared" si="0"/>
        <v>2.9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203638</v>
      </c>
      <c r="D18" s="182">
        <f t="shared" si="0"/>
        <v>9.8000000000000007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211147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70238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446.25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2069319.25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2069319.25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1433413</v>
      </c>
      <c r="D35" s="182">
        <f t="shared" ref="D35:D40" si="1">ROUND((C35/$C$41)*100,1)</f>
        <v>72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2106.4899999999907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538212</v>
      </c>
      <c r="D37" s="182">
        <f t="shared" si="1"/>
        <v>27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16067</v>
      </c>
      <c r="D39" s="182">
        <f t="shared" si="1"/>
        <v>0.8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1989798.49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97" t="str">
        <f>'DOE25'!A2</f>
        <v>Newfields SchoolDistrict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BC40:BM40"/>
    <mergeCell ref="BP40:BZ40"/>
    <mergeCell ref="P40:Z40"/>
    <mergeCell ref="AC40:AM40"/>
    <mergeCell ref="IP40:IV40"/>
    <mergeCell ref="C45:M45"/>
    <mergeCell ref="HP40:HZ40"/>
    <mergeCell ref="IC40:IM40"/>
    <mergeCell ref="FC40:FM40"/>
    <mergeCell ref="FP40:FZ40"/>
    <mergeCell ref="DC40:DM40"/>
    <mergeCell ref="EP40:EZ40"/>
    <mergeCell ref="GC39:GM39"/>
    <mergeCell ref="CC40:CM40"/>
    <mergeCell ref="CP40:CZ40"/>
    <mergeCell ref="IP39:IV39"/>
    <mergeCell ref="EP39:EZ39"/>
    <mergeCell ref="FC39:FM39"/>
    <mergeCell ref="FP39:FZ39"/>
    <mergeCell ref="GP39:GZ39"/>
    <mergeCell ref="IC39:IM39"/>
    <mergeCell ref="IC32:IM32"/>
    <mergeCell ref="IP32:IV32"/>
    <mergeCell ref="EP38:EZ38"/>
    <mergeCell ref="FC38:FM38"/>
    <mergeCell ref="FP38:FZ38"/>
    <mergeCell ref="GC38:GM38"/>
    <mergeCell ref="GP38:GZ38"/>
    <mergeCell ref="P39:Z39"/>
    <mergeCell ref="AC39:AM39"/>
    <mergeCell ref="AP39:AZ39"/>
    <mergeCell ref="HP39:HZ39"/>
    <mergeCell ref="IC38:IM38"/>
    <mergeCell ref="IP38:IV38"/>
    <mergeCell ref="CP38:CZ38"/>
    <mergeCell ref="BC38:BM38"/>
    <mergeCell ref="P38:Z38"/>
    <mergeCell ref="AC38:AM38"/>
    <mergeCell ref="BP39:BZ39"/>
    <mergeCell ref="CC39:CM39"/>
    <mergeCell ref="CP39:CZ39"/>
    <mergeCell ref="HC39:HM39"/>
    <mergeCell ref="DC39:DM39"/>
    <mergeCell ref="DP39:DZ39"/>
    <mergeCell ref="EC39:EM39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AP38:AZ38"/>
    <mergeCell ref="HP38:HZ38"/>
    <mergeCell ref="HP32:HZ32"/>
    <mergeCell ref="EC30:EM30"/>
    <mergeCell ref="EP30:EZ30"/>
    <mergeCell ref="DP32:DZ32"/>
    <mergeCell ref="EC32:EM32"/>
    <mergeCell ref="EP32:EZ32"/>
    <mergeCell ref="BP32:BZ32"/>
    <mergeCell ref="DC38:DM38"/>
    <mergeCell ref="HC38:HM38"/>
    <mergeCell ref="HC32:HM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FC32:FM32"/>
    <mergeCell ref="GC30:GM30"/>
    <mergeCell ref="HC31:HM31"/>
    <mergeCell ref="BP38:BZ38"/>
    <mergeCell ref="CC38:CM38"/>
    <mergeCell ref="IP29:IV29"/>
    <mergeCell ref="C42:M42"/>
    <mergeCell ref="P30:Z30"/>
    <mergeCell ref="AC30:AM30"/>
    <mergeCell ref="AP30:AZ30"/>
    <mergeCell ref="C41:M41"/>
    <mergeCell ref="C33:M33"/>
    <mergeCell ref="C37:M37"/>
    <mergeCell ref="AC29:AM29"/>
    <mergeCell ref="BC29:BM29"/>
    <mergeCell ref="GP30:GZ30"/>
    <mergeCell ref="FP29:FZ29"/>
    <mergeCell ref="GC29:GM29"/>
    <mergeCell ref="GP29:GZ29"/>
    <mergeCell ref="HP29:HZ29"/>
    <mergeCell ref="IC29:IM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A2:E2"/>
    <mergeCell ref="C5:M5"/>
    <mergeCell ref="C6:M6"/>
    <mergeCell ref="C7:M7"/>
    <mergeCell ref="DC32:DM32"/>
    <mergeCell ref="A1:I1"/>
    <mergeCell ref="C3:M3"/>
    <mergeCell ref="C4:M4"/>
    <mergeCell ref="F2:I2"/>
    <mergeCell ref="P29:Z29"/>
    <mergeCell ref="C8:M8"/>
    <mergeCell ref="C13:M13"/>
    <mergeCell ref="C9:M9"/>
    <mergeCell ref="C10:M10"/>
    <mergeCell ref="C11:M11"/>
    <mergeCell ref="C12:M12"/>
    <mergeCell ref="CP29:CZ29"/>
    <mergeCell ref="C18:M18"/>
    <mergeCell ref="C19:M19"/>
    <mergeCell ref="C20:M20"/>
    <mergeCell ref="DC29:DM29"/>
    <mergeCell ref="AP29:AZ29"/>
    <mergeCell ref="C14:M14"/>
    <mergeCell ref="C15:M15"/>
    <mergeCell ref="C16:M16"/>
    <mergeCell ref="C17:M17"/>
    <mergeCell ref="C27:M27"/>
    <mergeCell ref="BP29:BZ29"/>
    <mergeCell ref="CC29:CM29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32:M32"/>
    <mergeCell ref="P31:Z31"/>
    <mergeCell ref="AC31:AM31"/>
    <mergeCell ref="AP31:AZ31"/>
    <mergeCell ref="P32:Z32"/>
    <mergeCell ref="AC32:AM32"/>
    <mergeCell ref="AP32:AZ32"/>
    <mergeCell ref="C82:M82"/>
    <mergeCell ref="C52:M52"/>
    <mergeCell ref="C50:M50"/>
    <mergeCell ref="C63:M63"/>
    <mergeCell ref="C64:M64"/>
    <mergeCell ref="C65:M65"/>
    <mergeCell ref="C56:M56"/>
    <mergeCell ref="C21:M21"/>
    <mergeCell ref="C22:M22"/>
    <mergeCell ref="C23:M23"/>
    <mergeCell ref="C24:M24"/>
    <mergeCell ref="C29:M29"/>
    <mergeCell ref="C25:M25"/>
    <mergeCell ref="C26:M26"/>
    <mergeCell ref="C28:M28"/>
    <mergeCell ref="C34:M34"/>
    <mergeCell ref="C35:M35"/>
    <mergeCell ref="C30:M30"/>
    <mergeCell ref="C31:M31"/>
    <mergeCell ref="C62:M62"/>
    <mergeCell ref="C39:M39"/>
    <mergeCell ref="C40:M40"/>
    <mergeCell ref="C47:M47"/>
    <mergeCell ref="C48:M48"/>
    <mergeCell ref="C73:M73"/>
    <mergeCell ref="C74:M74"/>
    <mergeCell ref="C49:M49"/>
    <mergeCell ref="C51:M51"/>
    <mergeCell ref="C81:M81"/>
    <mergeCell ref="C75:M75"/>
    <mergeCell ref="C67:M67"/>
    <mergeCell ref="C68:M68"/>
    <mergeCell ref="C69:M69"/>
    <mergeCell ref="C89:M89"/>
    <mergeCell ref="C90:M90"/>
    <mergeCell ref="C61:M61"/>
    <mergeCell ref="C53:M53"/>
    <mergeCell ref="C54:M54"/>
    <mergeCell ref="C55:M55"/>
    <mergeCell ref="C60:M60"/>
    <mergeCell ref="C58:M58"/>
    <mergeCell ref="C76:M76"/>
    <mergeCell ref="C66:M66"/>
    <mergeCell ref="C83:M83"/>
    <mergeCell ref="C84:M84"/>
    <mergeCell ref="C85:M85"/>
    <mergeCell ref="C86:M86"/>
    <mergeCell ref="C87:M87"/>
    <mergeCell ref="C88:M88"/>
    <mergeCell ref="C57:M57"/>
    <mergeCell ref="C59:M59"/>
    <mergeCell ref="C77:M77"/>
    <mergeCell ref="C78:M78"/>
    <mergeCell ref="C79:M79"/>
    <mergeCell ref="C80:M80"/>
    <mergeCell ref="C70:M70"/>
    <mergeCell ref="A72:E72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2013-08-28T19:16:15Z</cp:lastPrinted>
  <dcterms:created xsi:type="dcterms:W3CDTF">1997-12-04T19:04:30Z</dcterms:created>
  <dcterms:modified xsi:type="dcterms:W3CDTF">2013-08-28T19:16:19Z</dcterms:modified>
</cp:coreProperties>
</file>