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666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7" i="1" l="1"/>
  <c r="F95" i="1"/>
  <c r="F467" i="1"/>
  <c r="J95" i="1"/>
  <c r="F464" i="1"/>
  <c r="J464" i="1"/>
  <c r="F109" i="1"/>
  <c r="F10" i="1"/>
  <c r="H540" i="1" l="1"/>
  <c r="G532" i="1" l="1"/>
  <c r="G531" i="1"/>
  <c r="G530" i="1"/>
  <c r="F532" i="1"/>
  <c r="F531" i="1"/>
  <c r="F530" i="1"/>
  <c r="H531" i="1"/>
  <c r="H532" i="1"/>
  <c r="H530" i="1"/>
  <c r="I526" i="1"/>
  <c r="I525" i="1"/>
  <c r="H527" i="1"/>
  <c r="H526" i="1"/>
  <c r="H525" i="1"/>
  <c r="G527" i="1"/>
  <c r="G526" i="1"/>
  <c r="G525" i="1"/>
  <c r="F527" i="1"/>
  <c r="F526" i="1"/>
  <c r="F525" i="1"/>
  <c r="H522" i="1" l="1"/>
  <c r="H521" i="1"/>
  <c r="H520" i="1"/>
  <c r="G467" i="1"/>
  <c r="G612" i="1"/>
  <c r="G610" i="1"/>
  <c r="F610" i="1"/>
  <c r="K301" i="1" l="1"/>
  <c r="J471" i="1"/>
  <c r="G439" i="1"/>
  <c r="B39" i="12"/>
  <c r="B37" i="12"/>
  <c r="B20" i="12"/>
  <c r="B19" i="12"/>
  <c r="C10" i="12"/>
  <c r="B11" i="12"/>
  <c r="B10" i="12"/>
  <c r="I603" i="1" l="1"/>
  <c r="J603" i="1"/>
  <c r="I594" i="1"/>
  <c r="H594" i="1" s="1"/>
  <c r="J594" i="1"/>
  <c r="H591" i="1"/>
  <c r="I590" i="1"/>
  <c r="J590" i="1"/>
  <c r="F578" i="1"/>
  <c r="H583" i="1"/>
  <c r="H109" i="1"/>
  <c r="H590" i="1" l="1"/>
  <c r="H603" i="1"/>
  <c r="F56" i="1"/>
  <c r="H366" i="1"/>
  <c r="G366" i="1"/>
  <c r="F366" i="1"/>
  <c r="H357" i="1"/>
  <c r="G302" i="1"/>
  <c r="G283" i="1"/>
  <c r="H282" i="1"/>
  <c r="H319" i="1"/>
  <c r="H281" i="1"/>
  <c r="I316" i="1"/>
  <c r="I278" i="1"/>
  <c r="G316" i="1"/>
  <c r="G278" i="1"/>
  <c r="F316" i="1"/>
  <c r="F278" i="1"/>
  <c r="I313" i="1"/>
  <c r="I275" i="1"/>
  <c r="G313" i="1"/>
  <c r="G275" i="1"/>
  <c r="F313" i="1"/>
  <c r="F275" i="1"/>
  <c r="F276" i="1"/>
  <c r="K275" i="1"/>
  <c r="H275" i="1"/>
  <c r="K260" i="1"/>
  <c r="K259" i="1"/>
  <c r="K242" i="1"/>
  <c r="H242" i="1"/>
  <c r="K240" i="1"/>
  <c r="H240" i="1"/>
  <c r="K239" i="1"/>
  <c r="H239" i="1"/>
  <c r="K238" i="1"/>
  <c r="H238" i="1"/>
  <c r="H237" i="1"/>
  <c r="K235" i="1"/>
  <c r="H235" i="1"/>
  <c r="K233" i="1" l="1"/>
  <c r="H233" i="1"/>
  <c r="K232" i="1"/>
  <c r="H232" i="1"/>
  <c r="H224" i="1"/>
  <c r="K222" i="1"/>
  <c r="H222" i="1"/>
  <c r="K221" i="1"/>
  <c r="H221" i="1"/>
  <c r="K220" i="1"/>
  <c r="H220" i="1"/>
  <c r="K219" i="1"/>
  <c r="H219" i="1"/>
  <c r="K217" i="1"/>
  <c r="H217" i="1"/>
  <c r="K215" i="1"/>
  <c r="H215" i="1"/>
  <c r="K214" i="1"/>
  <c r="H214" i="1"/>
  <c r="H206" i="1"/>
  <c r="K204" i="1"/>
  <c r="H204" i="1"/>
  <c r="K203" i="1"/>
  <c r="H203" i="1"/>
  <c r="K202" i="1"/>
  <c r="H202" i="1"/>
  <c r="H201" i="1"/>
  <c r="K197" i="1"/>
  <c r="H197" i="1"/>
  <c r="H196" i="1"/>
  <c r="F500" i="1"/>
  <c r="F501" i="1"/>
  <c r="F496" i="1"/>
  <c r="F664" i="1"/>
  <c r="C37" i="10" l="1"/>
  <c r="F40" i="2" l="1"/>
  <c r="D39" i="2"/>
  <c r="G654" i="1"/>
  <c r="J654" i="1" s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49" i="2" s="1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1" i="10" s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C117" i="2" s="1"/>
  <c r="L237" i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D17" i="13" s="1"/>
  <c r="C17" i="13" s="1"/>
  <c r="F18" i="13"/>
  <c r="G18" i="13"/>
  <c r="D18" i="13" s="1"/>
  <c r="C18" i="13" s="1"/>
  <c r="L251" i="1"/>
  <c r="F19" i="13"/>
  <c r="G19" i="13"/>
  <c r="L252" i="1"/>
  <c r="F29" i="13"/>
  <c r="G29" i="13"/>
  <c r="L357" i="1"/>
  <c r="L358" i="1"/>
  <c r="L359" i="1"/>
  <c r="I366" i="1"/>
  <c r="I368" i="1" s="1"/>
  <c r="H633" i="1" s="1"/>
  <c r="J289" i="1"/>
  <c r="J308" i="1"/>
  <c r="J327" i="1"/>
  <c r="K289" i="1"/>
  <c r="K308" i="1"/>
  <c r="K327" i="1"/>
  <c r="L275" i="1"/>
  <c r="L276" i="1"/>
  <c r="E109" i="2" s="1"/>
  <c r="L277" i="1"/>
  <c r="L278" i="1"/>
  <c r="E111" i="2" s="1"/>
  <c r="L280" i="1"/>
  <c r="L281" i="1"/>
  <c r="L282" i="1"/>
  <c r="L283" i="1"/>
  <c r="E120" i="2" s="1"/>
  <c r="L284" i="1"/>
  <c r="L285" i="1"/>
  <c r="E122" i="2" s="1"/>
  <c r="L286" i="1"/>
  <c r="L287" i="1"/>
  <c r="E124" i="2" s="1"/>
  <c r="L294" i="1"/>
  <c r="L295" i="1"/>
  <c r="L308" i="1" s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27" i="1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C32" i="10" s="1"/>
  <c r="L260" i="1"/>
  <c r="L340" i="1"/>
  <c r="E130" i="2" s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B27" i="12"/>
  <c r="C27" i="12"/>
  <c r="B31" i="12"/>
  <c r="C31" i="12"/>
  <c r="B9" i="12"/>
  <c r="B13" i="12"/>
  <c r="C9" i="12"/>
  <c r="C11" i="12" s="1"/>
  <c r="C13" i="12" s="1"/>
  <c r="B18" i="12"/>
  <c r="B22" i="12"/>
  <c r="C18" i="12"/>
  <c r="B1" i="12"/>
  <c r="L386" i="1"/>
  <c r="L387" i="1"/>
  <c r="L388" i="1"/>
  <c r="L389" i="1"/>
  <c r="L390" i="1"/>
  <c r="L391" i="1"/>
  <c r="L394" i="1"/>
  <c r="L395" i="1"/>
  <c r="L400" i="1" s="1"/>
  <c r="C138" i="2" s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H111" i="1" s="1"/>
  <c r="I59" i="1"/>
  <c r="F78" i="1"/>
  <c r="F93" i="1"/>
  <c r="F110" i="1"/>
  <c r="F111" i="1" s="1"/>
  <c r="G110" i="1"/>
  <c r="G111" i="1" s="1"/>
  <c r="H78" i="1"/>
  <c r="E56" i="2" s="1"/>
  <c r="E61" i="2" s="1"/>
  <c r="E62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J139" i="1" s="1"/>
  <c r="F146" i="1"/>
  <c r="F161" i="1"/>
  <c r="G146" i="1"/>
  <c r="G161" i="1"/>
  <c r="H146" i="1"/>
  <c r="H161" i="1"/>
  <c r="H168" i="1" s="1"/>
  <c r="I146" i="1"/>
  <c r="I161" i="1"/>
  <c r="C12" i="10"/>
  <c r="C15" i="10"/>
  <c r="L249" i="1"/>
  <c r="L331" i="1"/>
  <c r="C23" i="10" s="1"/>
  <c r="L253" i="1"/>
  <c r="C25" i="10"/>
  <c r="L267" i="1"/>
  <c r="L268" i="1"/>
  <c r="C142" i="2" s="1"/>
  <c r="L348" i="1"/>
  <c r="L349" i="1"/>
  <c r="I664" i="1"/>
  <c r="I669" i="1"/>
  <c r="F661" i="1"/>
  <c r="H661" i="1"/>
  <c r="I668" i="1"/>
  <c r="C42" i="10"/>
  <c r="L373" i="1"/>
  <c r="F129" i="2" s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 s="1"/>
  <c r="L521" i="1"/>
  <c r="F549" i="1" s="1"/>
  <c r="F551" i="1" s="1"/>
  <c r="L522" i="1"/>
  <c r="F550" i="1" s="1"/>
  <c r="L525" i="1"/>
  <c r="G548" i="1" s="1"/>
  <c r="K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J551" i="1" s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F31" i="2" s="1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C57" i="2"/>
  <c r="E57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D90" i="2" s="1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C112" i="2"/>
  <c r="C113" i="2"/>
  <c r="D114" i="2"/>
  <c r="F114" i="2"/>
  <c r="G114" i="2"/>
  <c r="E117" i="2"/>
  <c r="E118" i="2"/>
  <c r="E119" i="2"/>
  <c r="C120" i="2"/>
  <c r="C121" i="2"/>
  <c r="E121" i="2"/>
  <c r="C122" i="2"/>
  <c r="C123" i="2"/>
  <c r="E123" i="2"/>
  <c r="C124" i="2"/>
  <c r="D126" i="2"/>
  <c r="D127" i="2" s="1"/>
  <c r="F127" i="2"/>
  <c r="G127" i="2"/>
  <c r="E129" i="2"/>
  <c r="D133" i="2"/>
  <c r="D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H256" i="1" s="1"/>
  <c r="H270" i="1" s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H255" i="1"/>
  <c r="I255" i="1"/>
  <c r="J255" i="1"/>
  <c r="K255" i="1"/>
  <c r="F256" i="1"/>
  <c r="F270" i="1" s="1"/>
  <c r="F289" i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F407" i="1"/>
  <c r="G407" i="1"/>
  <c r="H644" i="1" s="1"/>
  <c r="L412" i="1"/>
  <c r="L418" i="1" s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J639" i="1" s="1"/>
  <c r="H445" i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H638" i="1" s="1"/>
  <c r="G460" i="1"/>
  <c r="H460" i="1"/>
  <c r="F469" i="1"/>
  <c r="G469" i="1"/>
  <c r="H469" i="1"/>
  <c r="H475" i="1" s="1"/>
  <c r="H623" i="1" s="1"/>
  <c r="J623" i="1" s="1"/>
  <c r="I469" i="1"/>
  <c r="J469" i="1"/>
  <c r="F473" i="1"/>
  <c r="G473" i="1"/>
  <c r="H473" i="1"/>
  <c r="I473" i="1"/>
  <c r="I475" i="1" s="1"/>
  <c r="H624" i="1" s="1"/>
  <c r="J624" i="1" s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G544" i="1" s="1"/>
  <c r="H523" i="1"/>
  <c r="I523" i="1"/>
  <c r="J523" i="1"/>
  <c r="K523" i="1"/>
  <c r="F528" i="1"/>
  <c r="G528" i="1"/>
  <c r="H528" i="1"/>
  <c r="H544" i="1" s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I570" i="1" s="1"/>
  <c r="J559" i="1"/>
  <c r="K559" i="1"/>
  <c r="K570" i="1" s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9" i="1"/>
  <c r="G640" i="1"/>
  <c r="H640" i="1"/>
  <c r="G642" i="1"/>
  <c r="H642" i="1"/>
  <c r="J642" i="1" s="1"/>
  <c r="G643" i="1"/>
  <c r="G644" i="1"/>
  <c r="G648" i="1"/>
  <c r="G650" i="1"/>
  <c r="G651" i="1"/>
  <c r="H651" i="1"/>
  <c r="G652" i="1"/>
  <c r="H652" i="1"/>
  <c r="G653" i="1"/>
  <c r="H653" i="1"/>
  <c r="H654" i="1"/>
  <c r="F191" i="1"/>
  <c r="I256" i="1"/>
  <c r="I270" i="1" s="1"/>
  <c r="G256" i="1"/>
  <c r="C26" i="10"/>
  <c r="L350" i="1"/>
  <c r="C69" i="2"/>
  <c r="D7" i="13"/>
  <c r="C7" i="13" s="1"/>
  <c r="G158" i="2"/>
  <c r="G80" i="2"/>
  <c r="E77" i="2"/>
  <c r="L426" i="1"/>
  <c r="J640" i="1"/>
  <c r="J570" i="1"/>
  <c r="L432" i="1"/>
  <c r="I168" i="1"/>
  <c r="G551" i="1"/>
  <c r="J475" i="1"/>
  <c r="H625" i="1" s="1"/>
  <c r="F475" i="1"/>
  <c r="H621" i="1" s="1"/>
  <c r="G475" i="1"/>
  <c r="H622" i="1" s="1"/>
  <c r="J622" i="1" s="1"/>
  <c r="F168" i="1"/>
  <c r="F570" i="1"/>
  <c r="I551" i="1"/>
  <c r="K549" i="1"/>
  <c r="K544" i="1"/>
  <c r="H551" i="1"/>
  <c r="H139" i="1"/>
  <c r="F22" i="13"/>
  <c r="C22" i="13" s="1"/>
  <c r="H570" i="1"/>
  <c r="J544" i="1"/>
  <c r="H337" i="1"/>
  <c r="H351" i="1" s="1"/>
  <c r="F337" i="1"/>
  <c r="F351" i="1" s="1"/>
  <c r="H191" i="1"/>
  <c r="C35" i="10"/>
  <c r="L569" i="1"/>
  <c r="I544" i="1"/>
  <c r="G36" i="2"/>
  <c r="L564" i="1"/>
  <c r="K550" i="1"/>
  <c r="J633" i="1" l="1"/>
  <c r="K551" i="1"/>
  <c r="C114" i="2"/>
  <c r="E102" i="2"/>
  <c r="D61" i="2"/>
  <c r="D62" i="2" s="1"/>
  <c r="E31" i="2"/>
  <c r="L269" i="1"/>
  <c r="D19" i="13"/>
  <c r="C19" i="13" s="1"/>
  <c r="D12" i="13"/>
  <c r="C12" i="13" s="1"/>
  <c r="D5" i="13"/>
  <c r="C5" i="13" s="1"/>
  <c r="H25" i="13"/>
  <c r="C25" i="13" s="1"/>
  <c r="C29" i="10"/>
  <c r="L289" i="1"/>
  <c r="G270" i="1"/>
  <c r="L543" i="1"/>
  <c r="L533" i="1"/>
  <c r="L523" i="1"/>
  <c r="K499" i="1"/>
  <c r="J638" i="1"/>
  <c r="H407" i="1"/>
  <c r="H643" i="1" s="1"/>
  <c r="J337" i="1"/>
  <c r="J351" i="1" s="1"/>
  <c r="G156" i="2"/>
  <c r="E112" i="2"/>
  <c r="E114" i="2"/>
  <c r="C130" i="2"/>
  <c r="G61" i="2"/>
  <c r="L361" i="1"/>
  <c r="F660" i="1"/>
  <c r="E13" i="13"/>
  <c r="C13" i="13" s="1"/>
  <c r="G102" i="2"/>
  <c r="C77" i="2"/>
  <c r="C80" i="2" s="1"/>
  <c r="F18" i="2"/>
  <c r="D18" i="2"/>
  <c r="H33" i="13"/>
  <c r="E80" i="2"/>
  <c r="G160" i="2"/>
  <c r="G159" i="2"/>
  <c r="G155" i="2"/>
  <c r="E127" i="2"/>
  <c r="J644" i="1"/>
  <c r="L392" i="1"/>
  <c r="C137" i="2" s="1"/>
  <c r="G621" i="1"/>
  <c r="J621" i="1" s="1"/>
  <c r="C49" i="2"/>
  <c r="D144" i="2"/>
  <c r="E50" i="2"/>
  <c r="K256" i="1"/>
  <c r="K270" i="1" s="1"/>
  <c r="F90" i="2"/>
  <c r="A31" i="12"/>
  <c r="J650" i="1"/>
  <c r="D29" i="13"/>
  <c r="C29" i="13" s="1"/>
  <c r="D15" i="13"/>
  <c r="C15" i="13" s="1"/>
  <c r="D14" i="13"/>
  <c r="C14" i="13" s="1"/>
  <c r="D6" i="13"/>
  <c r="C6" i="13" s="1"/>
  <c r="E16" i="13"/>
  <c r="C16" i="13" s="1"/>
  <c r="D80" i="2"/>
  <c r="C39" i="12"/>
  <c r="C37" i="12" s="1"/>
  <c r="C40" i="12" s="1"/>
  <c r="A40" i="12" s="1"/>
  <c r="C19" i="12"/>
  <c r="C20" i="12" s="1"/>
  <c r="G163" i="2"/>
  <c r="G162" i="2"/>
  <c r="G161" i="2"/>
  <c r="G157" i="2"/>
  <c r="F102" i="2"/>
  <c r="C90" i="2"/>
  <c r="F77" i="2"/>
  <c r="F80" i="2" s="1"/>
  <c r="F49" i="2"/>
  <c r="F50" i="2" s="1"/>
  <c r="D49" i="2"/>
  <c r="A13" i="12"/>
  <c r="E143" i="2"/>
  <c r="J643" i="1"/>
  <c r="J635" i="1"/>
  <c r="C61" i="2"/>
  <c r="C62" i="2" s="1"/>
  <c r="C102" i="2"/>
  <c r="J616" i="1"/>
  <c r="C31" i="2"/>
  <c r="D31" i="2"/>
  <c r="E18" i="2"/>
  <c r="C18" i="2"/>
  <c r="K597" i="1"/>
  <c r="G646" i="1" s="1"/>
  <c r="J648" i="1"/>
  <c r="H660" i="1"/>
  <c r="G660" i="1"/>
  <c r="L336" i="1"/>
  <c r="L337" i="1" s="1"/>
  <c r="L351" i="1" s="1"/>
  <c r="G632" i="1" s="1"/>
  <c r="J632" i="1" s="1"/>
  <c r="C19" i="10"/>
  <c r="G661" i="1"/>
  <c r="I661" i="1" s="1"/>
  <c r="C20" i="10"/>
  <c r="C17" i="10"/>
  <c r="C18" i="10"/>
  <c r="E8" i="13"/>
  <c r="C8" i="13" s="1"/>
  <c r="C119" i="2"/>
  <c r="C127" i="2" s="1"/>
  <c r="C16" i="10"/>
  <c r="L246" i="1"/>
  <c r="H659" i="1" s="1"/>
  <c r="G649" i="1"/>
  <c r="J649" i="1" s="1"/>
  <c r="H646" i="1"/>
  <c r="C21" i="10"/>
  <c r="L228" i="1"/>
  <c r="J256" i="1"/>
  <c r="J270" i="1" s="1"/>
  <c r="C10" i="10"/>
  <c r="L210" i="1"/>
  <c r="F659" i="1" s="1"/>
  <c r="F663" i="1" s="1"/>
  <c r="C24" i="10"/>
  <c r="G659" i="1"/>
  <c r="G31" i="13"/>
  <c r="G33" i="13" s="1"/>
  <c r="I337" i="1"/>
  <c r="I351" i="1" s="1"/>
  <c r="L406" i="1"/>
  <c r="C139" i="2" s="1"/>
  <c r="C140" i="2" s="1"/>
  <c r="C143" i="2" s="1"/>
  <c r="L570" i="1"/>
  <c r="I191" i="1"/>
  <c r="E90" i="2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G49" i="2" s="1"/>
  <c r="J50" i="1"/>
  <c r="G16" i="2"/>
  <c r="G18" i="2" s="1"/>
  <c r="J19" i="1"/>
  <c r="G620" i="1" s="1"/>
  <c r="F544" i="1"/>
  <c r="H433" i="1"/>
  <c r="J619" i="1"/>
  <c r="J618" i="1"/>
  <c r="D102" i="2"/>
  <c r="I139" i="1"/>
  <c r="I192" i="1" s="1"/>
  <c r="G629" i="1" s="1"/>
  <c r="J629" i="1" s="1"/>
  <c r="J651" i="1"/>
  <c r="J641" i="1"/>
  <c r="G570" i="1"/>
  <c r="I433" i="1"/>
  <c r="G433" i="1"/>
  <c r="E103" i="2"/>
  <c r="I662" i="1"/>
  <c r="C27" i="10"/>
  <c r="G634" i="1"/>
  <c r="J634" i="1" s="1"/>
  <c r="G50" i="2" l="1"/>
  <c r="L544" i="1"/>
  <c r="D50" i="2"/>
  <c r="C103" i="2"/>
  <c r="D31" i="13"/>
  <c r="C31" i="13" s="1"/>
  <c r="E144" i="2"/>
  <c r="F103" i="2"/>
  <c r="H645" i="1"/>
  <c r="J645" i="1" s="1"/>
  <c r="C50" i="2"/>
  <c r="F33" i="13"/>
  <c r="E33" i="13"/>
  <c r="D35" i="13" s="1"/>
  <c r="D103" i="2"/>
  <c r="J646" i="1"/>
  <c r="C22" i="12"/>
  <c r="A22" i="12" s="1"/>
  <c r="H663" i="1"/>
  <c r="H671" i="1" s="1"/>
  <c r="C6" i="10" s="1"/>
  <c r="I660" i="1"/>
  <c r="G663" i="1"/>
  <c r="G666" i="1" s="1"/>
  <c r="C144" i="2"/>
  <c r="H647" i="1"/>
  <c r="J647" i="1" s="1"/>
  <c r="C28" i="10"/>
  <c r="D24" i="10" s="1"/>
  <c r="L256" i="1"/>
  <c r="L270" i="1" s="1"/>
  <c r="G631" i="1" s="1"/>
  <c r="J631" i="1" s="1"/>
  <c r="I659" i="1"/>
  <c r="F671" i="1"/>
  <c r="C4" i="10" s="1"/>
  <c r="F666" i="1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H666" i="1" l="1"/>
  <c r="G671" i="1"/>
  <c r="C5" i="10" s="1"/>
  <c r="I663" i="1"/>
  <c r="I671" i="1" s="1"/>
  <c r="C7" i="10" s="1"/>
  <c r="D13" i="10"/>
  <c r="D21" i="10"/>
  <c r="D11" i="10"/>
  <c r="D22" i="10"/>
  <c r="D10" i="10"/>
  <c r="D26" i="10"/>
  <c r="C30" i="10"/>
  <c r="D16" i="10"/>
  <c r="D23" i="10"/>
  <c r="D27" i="10"/>
  <c r="D20" i="10"/>
  <c r="D18" i="10"/>
  <c r="D15" i="10"/>
  <c r="D17" i="10"/>
  <c r="D25" i="10"/>
  <c r="D12" i="10"/>
  <c r="D19" i="10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<sst xmlns="http://schemas.openxmlformats.org/spreadsheetml/2006/main" count="3946" uniqueCount="912">
  <si>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</si>
  <si>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</si>
  <si>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</si>
  <si>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</si>
  <si>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</si>
  <si>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</si>
  <si>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</si>
  <si>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</si>
  <si>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</si>
  <si>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</si>
  <si>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</si>
  <si>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</si>
  <si>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</si>
  <si>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</si>
  <si>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</si>
  <si>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</si>
  <si>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</si>
  <si>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</si>
  <si>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</si>
  <si>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</si>
  <si>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</si>
  <si>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</si>
  <si>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</si>
  <si>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</si>
  <si>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</si>
  <si>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</si>
  <si>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</si>
  <si>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</si>
  <si>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</si>
  <si>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</si>
  <si>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</si>
  <si>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</si>
  <si>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</si>
  <si>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</si>
  <si>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</si>
  <si>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</si>
  <si>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</si>
  <si>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</si>
  <si>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</si>
  <si>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</si>
  <si>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</si>
  <si>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</si>
  <si>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</si>
  <si>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</si>
  <si>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</si>
  <si>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</si>
  <si>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</si>
  <si>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</si>
  <si>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</si>
  <si>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</si>
  <si>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</si>
  <si>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</si>
  <si>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</si>
  <si>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</si>
  <si>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</si>
  <si>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</si>
  <si>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</si>
  <si>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</si>
  <si>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</si>
  <si>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</si>
  <si>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</si>
  <si>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</si>
  <si>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</si>
  <si>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</si>
  <si>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</si>
  <si>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</si>
  <si>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</si>
  <si>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</si>
  <si>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</si>
  <si>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</si>
  <si>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</si>
  <si>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</si>
  <si>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</si>
  <si>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</si>
  <si>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</si>
  <si>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</si>
  <si>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</si>
  <si>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</si>
  <si>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</si>
  <si>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</si>
  <si>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</si>
  <si>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</si>
  <si>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</si>
  <si>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</si>
  <si>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</si>
  <si>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</si>
  <si>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</si>
  <si>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</si>
  <si>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</si>
  <si>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</si>
  <si>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</si>
  <si>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</si>
  <si>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</si>
  <si>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</si>
  <si>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</si>
  <si>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</si>
  <si>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</si>
  <si>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</si>
  <si>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</si>
  <si>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</si>
  <si>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</si>
  <si>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</si>
  <si>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</si>
  <si>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</si>
  <si>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</si>
  <si>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</si>
  <si>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</si>
  <si>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</si>
  <si>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</si>
  <si>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</si>
  <si>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</si>
  <si>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</si>
  <si>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</si>
  <si>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</si>
  <si>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</si>
  <si>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</si>
  <si>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</si>
  <si>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</si>
  <si>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</si>
  <si>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</si>
  <si>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</si>
  <si>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</si>
  <si>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</si>
  <si>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</si>
  <si>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</si>
  <si>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</si>
  <si>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</si>
  <si>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</si>
  <si>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</si>
  <si>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</si>
  <si>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</si>
  <si>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</si>
  <si>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</si>
  <si>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</si>
  <si>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</si>
  <si>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</si>
  <si>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</si>
  <si>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</si>
  <si>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</si>
  <si>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</si>
  <si>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</si>
  <si>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</si>
  <si>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</si>
  <si>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</si>
  <si>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</si>
  <si>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</si>
  <si>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</si>
  <si>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</si>
  <si>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</si>
  <si>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</si>
  <si>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</si>
  <si>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</si>
  <si>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</si>
  <si>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</si>
  <si>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</si>
  <si>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</si>
  <si>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</si>
  <si>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</si>
  <si>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</si>
  <si>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</si>
  <si>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</si>
  <si>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</si>
  <si>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</si>
  <si>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</si>
  <si>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</si>
  <si>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</si>
  <si>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</si>
  <si>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</si>
  <si>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</si>
  <si>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</si>
  <si>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</si>
  <si>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</si>
  <si>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</si>
  <si>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</si>
  <si>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</si>
  <si>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</si>
  <si>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</si>
  <si>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</si>
  <si>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</si>
  <si>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</si>
  <si>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</si>
  <si>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</si>
  <si>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</si>
  <si>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</si>
  <si>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</si>
  <si>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</si>
  <si>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</si>
  <si>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</si>
  <si>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</si>
  <si>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</si>
  <si>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</si>
  <si>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</si>
  <si>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</si>
  <si>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</si>
  <si>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</si>
  <si>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</si>
  <si>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</si>
  <si>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</si>
  <si>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</si>
  <si>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</si>
  <si>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</si>
  <si>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</si>
  <si>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</si>
  <si>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</si>
  <si>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</si>
  <si>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</si>
  <si>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</si>
  <si>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</si>
  <si>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</si>
  <si>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</si>
  <si>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</si>
  <si>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</si>
  <si>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</si>
  <si>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</si>
  <si>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</si>
  <si>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</si>
  <si>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</si>
  <si>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</si>
  <si>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</si>
  <si>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</si>
  <si>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</si>
  <si>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</si>
  <si>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</si>
  <si>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</si>
  <si>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</si>
  <si>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</si>
  <si>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</si>
  <si>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</si>
  <si>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</si>
  <si>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</si>
  <si>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</si>
  <si>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</si>
  <si>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</si>
  <si>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</si>
  <si>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</si>
  <si>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</si>
  <si>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</si>
  <si>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</si>
  <si>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</si>
  <si>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</si>
  <si>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</si>
  <si>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</si>
  <si>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</si>
  <si>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</si>
  <si>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</si>
  <si>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</si>
  <si>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</si>
  <si>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</si>
  <si>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</si>
  <si>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</si>
  <si>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</si>
  <si>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</si>
  <si>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</si>
  <si>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</si>
  <si>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</si>
  <si>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</si>
  <si>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</si>
  <si>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</si>
  <si>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</si>
  <si>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</si>
  <si>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</si>
  <si>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</si>
  <si>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</si>
  <si>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</si>
  <si>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</si>
  <si>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</si>
  <si>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</si>
  <si>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</si>
  <si>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</si>
  <si>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</si>
  <si>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</si>
  <si>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</si>
  <si>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</si>
  <si>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</si>
  <si>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</si>
  <si>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</si>
  <si>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</si>
  <si>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</si>
  <si>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</si>
  <si>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</si>
  <si>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</si>
  <si>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</si>
  <si>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</si>
  <si>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</si>
  <si>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</si>
  <si>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</si>
  <si>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</si>
  <si>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</si>
  <si>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</si>
  <si>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</si>
  <si>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</si>
  <si>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</si>
  <si>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</si>
  <si>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</si>
  <si>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</si>
  <si>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</si>
  <si>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</si>
  <si>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</si>
  <si>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</si>
  <si>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</si>
  <si>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</si>
  <si>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</si>
  <si>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</si>
  <si>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</si>
  <si>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</si>
  <si>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</si>
  <si>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</si>
  <si>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</si>
  <si>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</si>
  <si>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</si>
  <si>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</si>
  <si>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</si>
  <si>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</si>
  <si>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</si>
  <si>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</si>
  <si>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</si>
  <si>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</si>
  <si>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</si>
  <si>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</si>
  <si>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</si>
  <si>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</si>
  <si>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</si>
  <si>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</si>
  <si>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</si>
  <si>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</si>
  <si>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</si>
  <si>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</si>
  <si>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</si>
  <si>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</si>
  <si>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</si>
  <si>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</si>
  <si>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</si>
  <si>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</si>
  <si>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</si>
  <si>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</si>
  <si>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</si>
  <si>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</si>
  <si>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</si>
  <si>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</si>
  <si>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</si>
  <si>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</si>
  <si>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</si>
  <si>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</si>
  <si>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</si>
  <si>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</si>
  <si>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</si>
  <si>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</si>
  <si>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</si>
  <si>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</si>
  <si>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</si>
  <si>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</si>
  <si>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</si>
  <si>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</si>
  <si>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</si>
  <si>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</si>
  <si>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</si>
  <si>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</si>
  <si>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</si>
  <si>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</si>
  <si>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</si>
  <si>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</si>
  <si>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</si>
  <si>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</si>
  <si>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</si>
  <si>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</si>
  <si>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</si>
  <si>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</si>
  <si>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</si>
  <si>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</si>
  <si>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</si>
  <si>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</si>
  <si>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</si>
  <si>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</si>
  <si>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</si>
  <si>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</si>
  <si>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</si>
  <si>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</si>
  <si>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</si>
  <si>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</si>
  <si>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</si>
  <si>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</si>
  <si>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</si>
  <si>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</si>
  <si>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</si>
  <si>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</si>
  <si>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</si>
  <si>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</si>
  <si>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</si>
  <si>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</si>
  <si>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</si>
  <si>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</si>
  <si>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</si>
  <si>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</si>
  <si>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</si>
  <si>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</si>
  <si>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</si>
  <si>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</si>
  <si>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</si>
  <si>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</si>
  <si>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</si>
  <si>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</si>
  <si>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</si>
  <si>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</si>
  <si>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</si>
  <si>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</si>
  <si>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</si>
  <si>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</si>
  <si>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</si>
  <si>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</si>
  <si>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</si>
  <si>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</si>
  <si>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</si>
  <si>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</si>
  <si>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</si>
  <si>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</si>
  <si>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</si>
  <si>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</si>
  <si>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</si>
  <si>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</si>
  <si>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</si>
  <si>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</si>
  <si>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</si>
  <si>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</si>
  <si>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</si>
  <si>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</si>
  <si>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</si>
  <si>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</si>
  <si>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</si>
  <si>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</si>
  <si>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</si>
  <si>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</si>
  <si>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</si>
  <si>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</si>
  <si>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</si>
  <si>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</si>
  <si>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</si>
  <si>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</si>
  <si>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</si>
  <si>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</si>
  <si>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</si>
  <si>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</si>
  <si>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</si>
  <si>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</si>
  <si>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</si>
  <si>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</si>
  <si>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</si>
  <si>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</si>
  <si>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</si>
  <si>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</si>
  <si>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</si>
  <si>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</si>
  <si>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</si>
  <si>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</si>
  <si>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</si>
  <si>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</si>
  <si>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</si>
  <si>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</si>
  <si>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</si>
  <si>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</si>
  <si>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</si>
  <si>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</si>
  <si>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</si>
  <si>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</si>
  <si>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</si>
  <si>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</si>
  <si>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</si>
  <si>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</si>
  <si>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</si>
  <si>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</si>
  <si>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</si>
  <si>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</si>
  <si>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</si>
  <si>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</si>
  <si>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</si>
  <si>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</si>
  <si>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</si>
  <si>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</si>
  <si>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</si>
  <si>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</si>
  <si>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</si>
  <si>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</si>
  <si>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</si>
  <si>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</si>
  <si>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</si>
  <si>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</si>
  <si>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</si>
  <si>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</si>
  <si>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</si>
  <si>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</si>
  <si>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</si>
  <si>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</si>
  <si>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</si>
  <si>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</si>
  <si>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</si>
  <si>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</si>
  <si>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</si>
  <si>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</si>
  <si>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</si>
  <si>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</si>
  <si>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</si>
  <si>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</si>
  <si>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</si>
  <si>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</si>
  <si>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</si>
  <si>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</si>
  <si>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</si>
  <si>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</si>
  <si>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</si>
  <si>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</si>
  <si>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</si>
  <si>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</si>
  <si>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</si>
  <si>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</si>
  <si>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</si>
  <si>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</si>
  <si>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</si>
  <si>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</si>
  <si>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</si>
  <si>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</si>
  <si>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</si>
  <si>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</si>
  <si>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</si>
  <si>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</si>
  <si>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</si>
  <si>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</si>
  <si>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</si>
  <si>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</si>
  <si>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</si>
  <si>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</si>
  <si>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</si>
  <si>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</si>
  <si>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</si>
  <si>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</si>
  <si>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</si>
  <si>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</si>
  <si>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</si>
  <si>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</si>
  <si>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</si>
  <si>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</si>
  <si>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</si>
  <si>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</si>
  <si>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</si>
  <si>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</si>
  <si>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</si>
  <si>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</si>
  <si>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</si>
  <si>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</si>
  <si>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</si>
  <si>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</si>
  <si>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</si>
  <si>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</si>
  <si>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</si>
  <si>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</si>
  <si>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</si>
  <si>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</si>
  <si>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</si>
  <si>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</si>
  <si>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</si>
  <si>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</si>
  <si>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</si>
  <si>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</si>
  <si>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</si>
  <si>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</si>
  <si>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</si>
  <si>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</si>
  <si>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</si>
  <si>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</si>
  <si>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</si>
  <si>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</si>
  <si>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</si>
  <si>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</si>
  <si>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</si>
  <si>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</si>
  <si>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</si>
  <si>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</si>
  <si>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</si>
  <si>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</si>
  <si>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</si>
  <si>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</si>
  <si>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</si>
  <si>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</si>
  <si>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</si>
  <si>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</si>
  <si>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</si>
  <si>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</si>
  <si>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</si>
  <si>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</si>
  <si>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</si>
  <si>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</si>
  <si>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</si>
  <si>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</si>
  <si>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</si>
  <si>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</si>
  <si>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</si>
  <si>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</si>
  <si>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</si>
  <si>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</si>
  <si>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</si>
  <si>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</si>
  <si>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</si>
  <si>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</si>
  <si>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</si>
  <si>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</si>
  <si>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</si>
  <si>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</si>
  <si>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</si>
  <si>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</si>
  <si>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</si>
  <si>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</si>
  <si>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</si>
  <si>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</si>
  <si>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</si>
  <si>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</si>
  <si>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</si>
  <si>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</si>
  <si>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</si>
  <si>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</si>
  <si>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</si>
  <si>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</si>
  <si>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</si>
  <si>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</si>
  <si>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</si>
  <si>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</si>
  <si>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</si>
  <si>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</si>
  <si>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</si>
  <si>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</si>
  <si>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</si>
  <si>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</si>
  <si>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</si>
  <si>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</si>
  <si>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</si>
  <si>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</si>
  <si>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</si>
  <si>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</si>
  <si>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</si>
  <si>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</si>
  <si>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</si>
  <si>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</si>
  <si>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</si>
  <si>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</si>
  <si>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</si>
  <si>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</si>
  <si>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</si>
  <si>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</si>
  <si>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</si>
  <si>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</si>
  <si>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</si>
  <si>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</si>
  <si>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</si>
  <si>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</si>
  <si>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</si>
  <si>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</si>
  <si>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</si>
  <si>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</si>
  <si>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</si>
  <si>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</si>
  <si>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</si>
  <si>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</si>
  <si>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</si>
  <si>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</si>
  <si>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</si>
  <si>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</si>
  <si>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</si>
  <si>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</si>
  <si>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</si>
  <si>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</si>
  <si>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</si>
  <si>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</si>
  <si>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</si>
  <si>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</si>
  <si>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</si>
  <si>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</si>
  <si>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</si>
  <si>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</si>
  <si>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</si>
  <si>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</si>
  <si>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</si>
  <si>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</si>
  <si>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</si>
  <si>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</si>
  <si>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</si>
  <si>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</si>
  <si>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</si>
  <si>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</si>
  <si>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</si>
  <si>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</si>
  <si>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</si>
  <si>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</si>
  <si>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</si>
  <si>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</si>
  <si>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</si>
  <si>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</si>
  <si>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</si>
  <si>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</si>
  <si>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</si>
  <si>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</si>
  <si>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</si>
  <si>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</si>
  <si>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</si>
  <si>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</si>
  <si>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</si>
  <si>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</si>
  <si>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</si>
  <si>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</si>
  <si>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</si>
  <si>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</si>
  <si>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</si>
  <si>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</si>
  <si>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</si>
  <si>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</si>
  <si>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</si>
  <si>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</si>
  <si>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</si>
  <si>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</si>
  <si>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</si>
  <si>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</si>
  <si>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</si>
  <si>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</si>
  <si>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</si>
  <si>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</si>
  <si>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</si>
  <si>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</si>
  <si>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</si>
  <si>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</si>
  <si>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</si>
  <si>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</si>
  <si>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</si>
  <si>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</si>
  <si>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</si>
  <si>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</si>
  <si>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</si>
  <si>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</si>
  <si>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</si>
  <si>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</si>
  <si>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</si>
  <si>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</si>
  <si>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</si>
  <si>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</si>
  <si>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</si>
  <si>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</si>
  <si>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</si>
  <si>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</si>
  <si>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</si>
  <si>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</si>
  <si>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</si>
  <si>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</si>
  <si>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</si>
  <si>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</si>
  <si>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</si>
  <si>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</si>
  <si>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</si>
  <si>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</si>
  <si>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</si>
  <si>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</si>
  <si>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</si>
  <si>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</si>
  <si>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</si>
  <si>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</si>
  <si>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</si>
  <si>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</si>
  <si>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</si>
  <si>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</si>
  <si>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</si>
  <si>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</si>
  <si>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</si>
  <si>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</si>
  <si>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</si>
  <si>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</si>
  <si>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</si>
  <si>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</si>
  <si>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</si>
  <si>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</si>
  <si>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</si>
  <si>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</si>
  <si>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</si>
  <si>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</si>
  <si>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</si>
  <si>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</si>
  <si>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</si>
  <si>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</si>
  <si>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</si>
  <si>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</si>
  <si>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</si>
  <si>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</si>
  <si>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</si>
  <si>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</si>
  <si>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</si>
  <si>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</si>
  <si>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</si>
  <si>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</si>
  <si>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</si>
  <si>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</si>
  <si>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</si>
  <si>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</si>
  <si>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</si>
  <si>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</si>
  <si>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</si>
  <si>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</si>
  <si>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</si>
  <si>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</si>
  <si>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</si>
  <si>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</si>
  <si>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</si>
  <si>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</si>
  <si>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</si>
  <si>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</si>
  <si>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</si>
  <si>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</si>
  <si>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</si>
  <si>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</si>
  <si>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</si>
  <si>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</si>
  <si>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</si>
  <si>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</si>
  <si>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</si>
  <si>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</si>
  <si>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</si>
  <si>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</si>
  <si>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</si>
  <si>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</si>
  <si>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</si>
  <si>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</si>
  <si>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</si>
  <si>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</si>
  <si>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</si>
  <si>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</si>
  <si>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</si>
  <si>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</si>
  <si>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</si>
  <si>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</si>
  <si>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</si>
  <si>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</si>
  <si>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</si>
  <si>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</si>
  <si>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</si>
  <si>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</si>
  <si>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</si>
  <si>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</si>
  <si>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</si>
  <si>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</si>
  <si>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</si>
  <si>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</si>
  <si>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</si>
  <si>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</si>
  <si>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</si>
  <si>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</si>
  <si>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</si>
  <si>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</si>
  <si>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</si>
  <si>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</si>
  <si>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</si>
  <si>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</si>
  <si>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</si>
  <si>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</si>
  <si>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</si>
  <si>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</si>
  <si>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</si>
  <si>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</si>
  <si>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</si>
  <si>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</si>
  <si>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</si>
  <si>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</si>
  <si>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</si>
  <si>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</si>
  <si>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</si>
  <si>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</si>
  <si>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</si>
  <si>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</si>
  <si>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</si>
  <si>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</si>
  <si>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</si>
  <si>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</si>
  <si>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</si>
  <si>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</si>
  <si>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</si>
  <si>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</si>
  <si>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</si>
  <si>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</si>
  <si>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</si>
  <si>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</si>
  <si>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</si>
  <si>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</si>
  <si>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</si>
  <si>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</si>
  <si>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</si>
  <si>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</si>
  <si>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</si>
  <si>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</si>
  <si>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</si>
  <si>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</si>
  <si>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</si>
  <si>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</si>
  <si>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</si>
  <si>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</si>
  <si>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</si>
  <si>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</si>
  <si>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</si>
  <si>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</si>
  <si>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</si>
  <si>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</si>
  <si>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</si>
  <si>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</si>
  <si>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</si>
  <si>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</si>
  <si>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</si>
  <si>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</si>
  <si>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</si>
  <si>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</si>
  <si>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Newfound Area School District</t>
  </si>
  <si>
    <t>07/10</t>
  </si>
  <si>
    <t>01/26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</si>
</sst>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20" zoomScaleNormal="12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710911</v>
      </c>
      <c r="G9" s="18">
        <v>31715</v>
      </c>
      <c r="H9" s="18"/>
      <c r="I9" s="18"/>
      <c r="J9" s="67">
        <f>SUM(I438)</f>
        <v>137757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68484-60034</f>
        <v>8450</v>
      </c>
      <c r="G10" s="18"/>
      <c r="H10" s="18"/>
      <c r="I10" s="18"/>
      <c r="J10" s="67">
        <f>SUM(I439)</f>
        <v>195602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86808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9249.94</v>
      </c>
      <c r="G13" s="18">
        <v>52129</v>
      </c>
      <c r="H13" s="18">
        <v>151941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3925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13338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819343.94</v>
      </c>
      <c r="G19" s="41">
        <f>SUM(G9:G18)</f>
        <v>97182</v>
      </c>
      <c r="H19" s="41">
        <f>SUM(H9:H18)</f>
        <v>151941</v>
      </c>
      <c r="I19" s="41">
        <f>SUM(I9:I18)</f>
        <v>0</v>
      </c>
      <c r="J19" s="41">
        <f>SUM(J9:J18)</f>
        <v>333359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86808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168971</v>
      </c>
      <c r="G24" s="18"/>
      <c r="H24" s="18">
        <v>5879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59788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56661</v>
      </c>
      <c r="G30" s="18">
        <v>10783</v>
      </c>
      <c r="H30" s="18">
        <v>59254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285420</v>
      </c>
      <c r="G32" s="41">
        <f>SUM(G22:G31)</f>
        <v>10783</v>
      </c>
      <c r="H32" s="41">
        <f>SUM(H22:H31)</f>
        <v>151941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13338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124249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116490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>
        <v>73061</v>
      </c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/>
      <c r="H47" s="18"/>
      <c r="I47" s="18"/>
      <c r="J47" s="13">
        <f>SUM(I458)</f>
        <v>209110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357433.94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533923.93999999994</v>
      </c>
      <c r="G50" s="41">
        <f>SUM(G35:G49)</f>
        <v>86399</v>
      </c>
      <c r="H50" s="41">
        <f>SUM(H35:H49)</f>
        <v>0</v>
      </c>
      <c r="I50" s="41">
        <f>SUM(I35:I49)</f>
        <v>0</v>
      </c>
      <c r="J50" s="41">
        <f>SUM(J35:J49)</f>
        <v>333359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819343.94</v>
      </c>
      <c r="G51" s="41">
        <f>G50+G32</f>
        <v>97182</v>
      </c>
      <c r="H51" s="41">
        <f>H50+H32</f>
        <v>151941</v>
      </c>
      <c r="I51" s="41">
        <f>I50+I32</f>
        <v>0</v>
      </c>
      <c r="J51" s="41">
        <f>J50+J32</f>
        <v>333359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2324359+823365+3777586+1159855+403962+61681+2324404</f>
        <v>10875212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10875212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1305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10046.85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20447.3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32249.15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2680-1.07</f>
        <v>2678.93</v>
      </c>
      <c r="G95" s="18">
        <v>50.37</v>
      </c>
      <c r="H95" s="18"/>
      <c r="I95" s="18"/>
      <c r="J95" s="18">
        <f>87+13</f>
        <v>100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262624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3849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828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112867.6</v>
      </c>
      <c r="I101" s="18"/>
      <c r="J101" s="18">
        <v>367304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855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25418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9320.01-855</f>
        <v>8465.01</v>
      </c>
      <c r="G109" s="18"/>
      <c r="H109" s="18">
        <f>23261.22+18668.9</f>
        <v>41930.120000000003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42093.94</v>
      </c>
      <c r="G110" s="41">
        <f>SUM(G95:G109)</f>
        <v>262674.37</v>
      </c>
      <c r="H110" s="41">
        <f>SUM(H95:H109)</f>
        <v>154797.72</v>
      </c>
      <c r="I110" s="41">
        <f>SUM(I95:I109)</f>
        <v>0</v>
      </c>
      <c r="J110" s="41">
        <f>SUM(J95:J109)</f>
        <v>367404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10949555.09</v>
      </c>
      <c r="G111" s="41">
        <f>G59+G110</f>
        <v>262674.37</v>
      </c>
      <c r="H111" s="41">
        <f>H59+H78+H93+H110</f>
        <v>154797.72</v>
      </c>
      <c r="I111" s="41">
        <f>I59+I110</f>
        <v>0</v>
      </c>
      <c r="J111" s="41">
        <f>J59+J110</f>
        <v>367404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3786776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4236576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8023352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97426.2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128886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6897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6409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233209.2</v>
      </c>
      <c r="G135" s="41">
        <f>SUM(G122:G134)</f>
        <v>6409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>
        <v>18125.22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8256561.2000000002</v>
      </c>
      <c r="G139" s="41">
        <f>G120+SUM(G135:G136)</f>
        <v>6409</v>
      </c>
      <c r="H139" s="41">
        <f>H120+SUM(H135:H138)</f>
        <v>18125.22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321298.81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441435.28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319444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343571.88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246019.38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131282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377301.38</v>
      </c>
      <c r="G161" s="41">
        <f>SUM(G149:G160)</f>
        <v>319444</v>
      </c>
      <c r="H161" s="41">
        <f>SUM(H149:H160)</f>
        <v>1106305.9700000002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3005.33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380306.71</v>
      </c>
      <c r="G168" s="41">
        <f>G146+G161+SUM(G162:G167)</f>
        <v>319444</v>
      </c>
      <c r="H168" s="41">
        <f>H146+H161+SUM(H162:H167)</f>
        <v>1106305.9700000002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73854.52</v>
      </c>
      <c r="H178" s="18"/>
      <c r="I178" s="18"/>
      <c r="J178" s="18">
        <v>60000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73854.52</v>
      </c>
      <c r="H182" s="41">
        <f>SUM(H178:H181)</f>
        <v>0</v>
      </c>
      <c r="I182" s="41">
        <f>SUM(I178:I181)</f>
        <v>0</v>
      </c>
      <c r="J182" s="41">
        <f>SUM(J178:J181)</f>
        <v>60000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73854.52</v>
      </c>
      <c r="H191" s="41">
        <f>+H182+SUM(H187:H190)</f>
        <v>0</v>
      </c>
      <c r="I191" s="41">
        <f>I176+I182+SUM(I187:I190)</f>
        <v>0</v>
      </c>
      <c r="J191" s="41">
        <f>J182</f>
        <v>60000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19586423</v>
      </c>
      <c r="G192" s="47">
        <f>G111+G139+G168+G191</f>
        <v>662381.89</v>
      </c>
      <c r="H192" s="47">
        <f>H111+H139+H168+H191</f>
        <v>1279228.9100000001</v>
      </c>
      <c r="I192" s="47">
        <f>I111+I139+I168+I191</f>
        <v>0</v>
      </c>
      <c r="J192" s="47">
        <f>J111+J139+J191</f>
        <v>427404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2261517.36</v>
      </c>
      <c r="G196" s="18">
        <v>945700.66</v>
      </c>
      <c r="H196" s="18">
        <f>18446.52+5265.78</f>
        <v>23712.3</v>
      </c>
      <c r="I196" s="18">
        <v>94709.65</v>
      </c>
      <c r="J196" s="18">
        <v>3515.57</v>
      </c>
      <c r="K196" s="18">
        <v>0</v>
      </c>
      <c r="L196" s="19">
        <f>SUM(F196:K196)</f>
        <v>3329155.5399999996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792568.85</v>
      </c>
      <c r="G197" s="18">
        <v>365172.12</v>
      </c>
      <c r="H197" s="18">
        <f>266+204517.14</f>
        <v>204783.14</v>
      </c>
      <c r="I197" s="18">
        <v>11798.58</v>
      </c>
      <c r="J197" s="18">
        <v>0</v>
      </c>
      <c r="K197" s="18">
        <f>1002.06</f>
        <v>1002.06</v>
      </c>
      <c r="L197" s="19">
        <f>SUM(F197:K197)</f>
        <v>1375324.75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10921.5</v>
      </c>
      <c r="G199" s="18">
        <v>1737.51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12659.01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505244.12</v>
      </c>
      <c r="G201" s="18">
        <v>243580.66</v>
      </c>
      <c r="H201" s="18">
        <f>181924.15+1043.25</f>
        <v>182967.4</v>
      </c>
      <c r="I201" s="18">
        <v>6446.54</v>
      </c>
      <c r="J201" s="18">
        <v>104.29</v>
      </c>
      <c r="K201" s="18">
        <v>0</v>
      </c>
      <c r="L201" s="19">
        <f t="shared" ref="L201:L207" si="0">SUM(F201:K201)</f>
        <v>938343.01000000013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64744.75</v>
      </c>
      <c r="G202" s="18">
        <v>33918.21</v>
      </c>
      <c r="H202" s="18">
        <f>31533+3659.66+0</f>
        <v>35192.660000000003</v>
      </c>
      <c r="I202" s="18">
        <v>16509.43</v>
      </c>
      <c r="J202" s="18">
        <v>68068.490000000005</v>
      </c>
      <c r="K202" s="18">
        <f>54083.15</f>
        <v>54083.15</v>
      </c>
      <c r="L202" s="19">
        <f t="shared" si="0"/>
        <v>272516.69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203686.88</v>
      </c>
      <c r="G203" s="18">
        <v>66646.960000000006</v>
      </c>
      <c r="H203" s="18">
        <f>24984.31+4914.98+10477.79</f>
        <v>40377.08</v>
      </c>
      <c r="I203" s="18">
        <v>5359.58</v>
      </c>
      <c r="J203" s="18">
        <v>796.84</v>
      </c>
      <c r="K203" s="18">
        <f>11743.66+0</f>
        <v>11743.66</v>
      </c>
      <c r="L203" s="19">
        <f t="shared" si="0"/>
        <v>328611.00000000006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391116.97</v>
      </c>
      <c r="G204" s="18">
        <v>160288.79999999999</v>
      </c>
      <c r="H204" s="18">
        <f>5752.77+10819.14</f>
        <v>16571.91</v>
      </c>
      <c r="I204" s="18">
        <v>5184.76</v>
      </c>
      <c r="J204" s="18">
        <v>1646.98</v>
      </c>
      <c r="K204" s="18">
        <f>3038.95+474.94</f>
        <v>3513.89</v>
      </c>
      <c r="L204" s="19">
        <f t="shared" si="0"/>
        <v>578323.31000000006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212414.63</v>
      </c>
      <c r="G206" s="18">
        <v>62770.19</v>
      </c>
      <c r="H206" s="18">
        <f>15442.79+150555.6+51528.67</f>
        <v>217527.06</v>
      </c>
      <c r="I206" s="18">
        <v>183320.97</v>
      </c>
      <c r="J206" s="18">
        <v>1008.69</v>
      </c>
      <c r="K206" s="18">
        <v>0</v>
      </c>
      <c r="L206" s="19">
        <f t="shared" si="0"/>
        <v>677041.53999999992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466149.38</v>
      </c>
      <c r="I207" s="18">
        <v>73133.08</v>
      </c>
      <c r="J207" s="18">
        <v>0</v>
      </c>
      <c r="K207" s="18">
        <v>0</v>
      </c>
      <c r="L207" s="19">
        <f t="shared" si="0"/>
        <v>539282.46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4442215.0599999996</v>
      </c>
      <c r="G210" s="41">
        <f t="shared" si="1"/>
        <v>1879815.1099999999</v>
      </c>
      <c r="H210" s="41">
        <f t="shared" si="1"/>
        <v>1187280.9300000002</v>
      </c>
      <c r="I210" s="41">
        <f t="shared" si="1"/>
        <v>396462.59</v>
      </c>
      <c r="J210" s="41">
        <f t="shared" si="1"/>
        <v>75140.86</v>
      </c>
      <c r="K210" s="41">
        <f t="shared" si="1"/>
        <v>70342.759999999995</v>
      </c>
      <c r="L210" s="41">
        <f t="shared" si="1"/>
        <v>8051257.3099999987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1133686.82</v>
      </c>
      <c r="G214" s="18">
        <v>522022.69</v>
      </c>
      <c r="H214" s="18">
        <f>12252.47+874.7</f>
        <v>13127.17</v>
      </c>
      <c r="I214" s="18">
        <v>31106.38</v>
      </c>
      <c r="J214" s="18">
        <v>1837.38</v>
      </c>
      <c r="K214" s="18">
        <f>124+0</f>
        <v>124</v>
      </c>
      <c r="L214" s="19">
        <f>SUM(F214:K214)</f>
        <v>1701904.4399999997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428387.52</v>
      </c>
      <c r="G215" s="18">
        <v>198144.05</v>
      </c>
      <c r="H215" s="18">
        <f>196+88094.84</f>
        <v>88290.84</v>
      </c>
      <c r="I215" s="18">
        <v>1101.6199999999999</v>
      </c>
      <c r="J215" s="18">
        <v>0</v>
      </c>
      <c r="K215" s="18">
        <f>350+0</f>
        <v>350</v>
      </c>
      <c r="L215" s="19">
        <f>SUM(F215:K215)</f>
        <v>716274.03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49739.8</v>
      </c>
      <c r="G217" s="18">
        <v>7546.79</v>
      </c>
      <c r="H217" s="18">
        <f>0+0+0</f>
        <v>0</v>
      </c>
      <c r="I217" s="18">
        <v>4907.25</v>
      </c>
      <c r="J217" s="18">
        <v>1376.93</v>
      </c>
      <c r="K217" s="18">
        <f>530.99+9477</f>
        <v>10007.99</v>
      </c>
      <c r="L217" s="19">
        <f>SUM(F217:K217)</f>
        <v>73578.760000000009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281717.93</v>
      </c>
      <c r="G219" s="18">
        <v>116314.82</v>
      </c>
      <c r="H219" s="18">
        <f>76533.7+268.01</f>
        <v>76801.709999999992</v>
      </c>
      <c r="I219" s="18">
        <v>2539.6999999999998</v>
      </c>
      <c r="J219" s="18">
        <v>0</v>
      </c>
      <c r="K219" s="18">
        <f>40+0</f>
        <v>40</v>
      </c>
      <c r="L219" s="19">
        <f t="shared" ref="L219:L225" si="2">SUM(F219:K219)</f>
        <v>477414.16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81965.149999999994</v>
      </c>
      <c r="G220" s="18">
        <v>34293.21</v>
      </c>
      <c r="H220" s="18">
        <f>11174.29+2052.78+0</f>
        <v>13227.070000000002</v>
      </c>
      <c r="I220" s="18">
        <v>10206.049999999999</v>
      </c>
      <c r="J220" s="18">
        <v>23003.68</v>
      </c>
      <c r="K220" s="18">
        <f>29944.98+0</f>
        <v>29944.98</v>
      </c>
      <c r="L220" s="19">
        <f t="shared" si="2"/>
        <v>192640.13999999998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92828.98</v>
      </c>
      <c r="G221" s="18">
        <v>36472.9</v>
      </c>
      <c r="H221" s="18">
        <f>15546.87+3136.57+7441.04</f>
        <v>26124.480000000003</v>
      </c>
      <c r="I221" s="18">
        <v>3720.68</v>
      </c>
      <c r="J221" s="18">
        <v>724.96</v>
      </c>
      <c r="K221" s="18">
        <f>6072.51+0</f>
        <v>6072.51</v>
      </c>
      <c r="L221" s="19">
        <f t="shared" si="2"/>
        <v>165944.51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174574.71</v>
      </c>
      <c r="G222" s="18">
        <v>71721.259999999995</v>
      </c>
      <c r="H222" s="18">
        <f>760+82.5+6639.69</f>
        <v>7482.19</v>
      </c>
      <c r="I222" s="18">
        <v>362.94</v>
      </c>
      <c r="J222" s="18">
        <v>0</v>
      </c>
      <c r="K222" s="18">
        <f>2538.64+46.57</f>
        <v>2585.21</v>
      </c>
      <c r="L222" s="19">
        <f t="shared" si="2"/>
        <v>256726.30999999997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112192.11</v>
      </c>
      <c r="G224" s="18">
        <v>45529.54</v>
      </c>
      <c r="H224" s="18">
        <f>10396.94+32308.52+24969.22</f>
        <v>67674.679999999993</v>
      </c>
      <c r="I224" s="18">
        <v>110997.52</v>
      </c>
      <c r="J224" s="18">
        <v>5080.3599999999997</v>
      </c>
      <c r="K224" s="18">
        <v>0</v>
      </c>
      <c r="L224" s="19">
        <f t="shared" si="2"/>
        <v>341474.20999999996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286020.2</v>
      </c>
      <c r="I225" s="18">
        <v>53405.9</v>
      </c>
      <c r="J225" s="18">
        <v>0</v>
      </c>
      <c r="K225" s="18">
        <v>0</v>
      </c>
      <c r="L225" s="19">
        <f t="shared" si="2"/>
        <v>339426.10000000003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2355093.02</v>
      </c>
      <c r="G228" s="41">
        <f>SUM(G214:G227)</f>
        <v>1032045.2600000001</v>
      </c>
      <c r="H228" s="41">
        <f>SUM(H214:H227)</f>
        <v>578748.34000000008</v>
      </c>
      <c r="I228" s="41">
        <f>SUM(I214:I227)</f>
        <v>218348.04</v>
      </c>
      <c r="J228" s="41">
        <f>SUM(J214:J227)</f>
        <v>32023.31</v>
      </c>
      <c r="K228" s="41">
        <f t="shared" si="3"/>
        <v>49124.69</v>
      </c>
      <c r="L228" s="41">
        <f t="shared" si="3"/>
        <v>4265382.66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1641525.26</v>
      </c>
      <c r="G232" s="18">
        <v>738985.1</v>
      </c>
      <c r="H232" s="18">
        <f>20629.37+6309.61</f>
        <v>26938.98</v>
      </c>
      <c r="I232" s="18">
        <v>81473.789999999994</v>
      </c>
      <c r="J232" s="18">
        <v>4530.88</v>
      </c>
      <c r="K232" s="18">
        <f>6573+0</f>
        <v>6573</v>
      </c>
      <c r="L232" s="19">
        <f>SUM(F232:K232)</f>
        <v>2500027.0099999998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626094.14</v>
      </c>
      <c r="G233" s="18">
        <v>288123.78000000003</v>
      </c>
      <c r="H233" s="18">
        <f>238+475584.55</f>
        <v>475822.55</v>
      </c>
      <c r="I233" s="18">
        <v>4514.1000000000004</v>
      </c>
      <c r="J233" s="18">
        <v>359.47</v>
      </c>
      <c r="K233" s="18">
        <f>1487.58+0</f>
        <v>1487.58</v>
      </c>
      <c r="L233" s="19">
        <f>SUM(F233:K233)</f>
        <v>1396401.62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32187.42</v>
      </c>
      <c r="I234" s="18">
        <v>0</v>
      </c>
      <c r="J234" s="18">
        <v>0</v>
      </c>
      <c r="K234" s="18">
        <v>0</v>
      </c>
      <c r="L234" s="19">
        <f>SUM(F234:K234)</f>
        <v>32187.42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160856.09</v>
      </c>
      <c r="G235" s="18">
        <v>37456.019999999997</v>
      </c>
      <c r="H235" s="18">
        <f>0</f>
        <v>0</v>
      </c>
      <c r="I235" s="18">
        <v>14273.23</v>
      </c>
      <c r="J235" s="18">
        <v>15658.23</v>
      </c>
      <c r="K235" s="18">
        <f>3810+51996.98</f>
        <v>55806.98</v>
      </c>
      <c r="L235" s="19">
        <f>SUM(F235:K235)</f>
        <v>284050.55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329089.59999999998</v>
      </c>
      <c r="G237" s="18">
        <v>102595.71</v>
      </c>
      <c r="H237" s="18">
        <f>109883.3+576.56</f>
        <v>110459.86</v>
      </c>
      <c r="I237" s="18">
        <v>5693.46</v>
      </c>
      <c r="J237" s="18">
        <v>349.98</v>
      </c>
      <c r="K237" s="18">
        <v>0</v>
      </c>
      <c r="L237" s="19">
        <f t="shared" ref="L237:L243" si="4">SUM(F237:K237)</f>
        <v>548188.61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96456.08</v>
      </c>
      <c r="G238" s="18">
        <v>61921.4</v>
      </c>
      <c r="H238" s="18">
        <f>13151.49+3319.8+0</f>
        <v>16471.29</v>
      </c>
      <c r="I238" s="18">
        <v>21252.75</v>
      </c>
      <c r="J238" s="18">
        <v>67682.740000000005</v>
      </c>
      <c r="K238" s="18">
        <f>49269.35+0</f>
        <v>49269.35</v>
      </c>
      <c r="L238" s="19">
        <f t="shared" si="4"/>
        <v>313053.61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127897.09</v>
      </c>
      <c r="G239" s="18">
        <v>48270.99</v>
      </c>
      <c r="H239" s="18">
        <f>41626.78+4435.38+9197.67</f>
        <v>55259.829999999994</v>
      </c>
      <c r="I239" s="18">
        <v>4616.78</v>
      </c>
      <c r="J239" s="18">
        <v>589.61</v>
      </c>
      <c r="K239" s="18">
        <f>7453.91+0</f>
        <v>7453.91</v>
      </c>
      <c r="L239" s="19">
        <f t="shared" si="4"/>
        <v>244088.20999999996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214109.74</v>
      </c>
      <c r="G240" s="18">
        <v>92662.41</v>
      </c>
      <c r="H240" s="18">
        <f>428.05+9419.33</f>
        <v>9847.3799999999992</v>
      </c>
      <c r="I240" s="18">
        <v>1275.8699999999999</v>
      </c>
      <c r="J240" s="18">
        <v>0</v>
      </c>
      <c r="K240" s="18">
        <f>8516.11+4250.71</f>
        <v>12766.82</v>
      </c>
      <c r="L240" s="19">
        <f t="shared" si="4"/>
        <v>330662.22000000003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164414.96</v>
      </c>
      <c r="G242" s="18">
        <v>50494.39</v>
      </c>
      <c r="H242" s="18">
        <f>14731.83+138883.56+30783.19</f>
        <v>184398.58</v>
      </c>
      <c r="I242" s="18">
        <v>101547.29</v>
      </c>
      <c r="J242" s="18">
        <v>4818.3100000000004</v>
      </c>
      <c r="K242" s="18">
        <f>0</f>
        <v>0</v>
      </c>
      <c r="L242" s="19">
        <f t="shared" si="4"/>
        <v>505673.52999999991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519644.63</v>
      </c>
      <c r="I243" s="18">
        <v>65064.04</v>
      </c>
      <c r="J243" s="18">
        <v>0</v>
      </c>
      <c r="K243" s="18">
        <v>0</v>
      </c>
      <c r="L243" s="19">
        <f t="shared" si="4"/>
        <v>584708.67000000004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164185.24</v>
      </c>
      <c r="H244" s="18"/>
      <c r="I244" s="18"/>
      <c r="J244" s="18"/>
      <c r="K244" s="18"/>
      <c r="L244" s="19">
        <f>SUM(F244:K244)</f>
        <v>164185.24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3360442.96</v>
      </c>
      <c r="G246" s="41">
        <f t="shared" si="5"/>
        <v>1584695.0399999996</v>
      </c>
      <c r="H246" s="41">
        <f t="shared" si="5"/>
        <v>1431030.52</v>
      </c>
      <c r="I246" s="41">
        <f t="shared" si="5"/>
        <v>299711.31</v>
      </c>
      <c r="J246" s="41">
        <f t="shared" si="5"/>
        <v>93989.22</v>
      </c>
      <c r="K246" s="41">
        <f t="shared" si="5"/>
        <v>133357.64000000001</v>
      </c>
      <c r="L246" s="41">
        <f t="shared" si="5"/>
        <v>6903226.6900000004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72629.009999999995</v>
      </c>
      <c r="I254" s="18"/>
      <c r="J254" s="18"/>
      <c r="K254" s="18"/>
      <c r="L254" s="19">
        <f t="shared" si="6"/>
        <v>72629.009999999995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72629.009999999995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72629.009999999995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10157751.039999999</v>
      </c>
      <c r="G256" s="41">
        <f t="shared" si="8"/>
        <v>4496555.41</v>
      </c>
      <c r="H256" s="41">
        <f t="shared" si="8"/>
        <v>3269688.8</v>
      </c>
      <c r="I256" s="41">
        <f t="shared" si="8"/>
        <v>914521.94</v>
      </c>
      <c r="J256" s="41">
        <f t="shared" si="8"/>
        <v>201153.39</v>
      </c>
      <c r="K256" s="41">
        <f t="shared" si="8"/>
        <v>252825.09000000003</v>
      </c>
      <c r="L256" s="41">
        <f t="shared" si="8"/>
        <v>19292495.670000002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88569.27*2</f>
        <v>177138.54</v>
      </c>
      <c r="L259" s="19">
        <f>SUM(F259:K259)</f>
        <v>177138.54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68694.32+66240.95</f>
        <v>134935.27000000002</v>
      </c>
      <c r="L260" s="19">
        <f>SUM(F260:K260)</f>
        <v>134935.27000000002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73854.52</v>
      </c>
      <c r="L262" s="19">
        <f>SUM(F262:K262)</f>
        <v>73854.52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60000</v>
      </c>
      <c r="L265" s="19">
        <f t="shared" si="9"/>
        <v>60000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445928.33000000007</v>
      </c>
      <c r="L269" s="41">
        <f t="shared" si="9"/>
        <v>445928.33000000007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10157751.039999999</v>
      </c>
      <c r="G270" s="42">
        <f t="shared" si="11"/>
        <v>4496555.41</v>
      </c>
      <c r="H270" s="42">
        <f t="shared" si="11"/>
        <v>3269688.8</v>
      </c>
      <c r="I270" s="42">
        <f t="shared" si="11"/>
        <v>914521.94</v>
      </c>
      <c r="J270" s="42">
        <f t="shared" si="11"/>
        <v>201153.39</v>
      </c>
      <c r="K270" s="42">
        <f t="shared" si="11"/>
        <v>698753.42000000016</v>
      </c>
      <c r="L270" s="42">
        <f t="shared" si="11"/>
        <v>19738424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323707.26-4312.5-36067-279.88-16500</f>
        <v>266547.88</v>
      </c>
      <c r="G275" s="18">
        <f>41796.69-1292.85-1452-59.91-11-2684.11-3173.83-77.73</f>
        <v>33045.259999999995</v>
      </c>
      <c r="H275" s="18">
        <f>8500+2107.18</f>
        <v>10607.18</v>
      </c>
      <c r="I275" s="18">
        <f>15298.82-1180.25-741.38-319.42</f>
        <v>13057.77</v>
      </c>
      <c r="J275" s="18">
        <v>0</v>
      </c>
      <c r="K275" s="18">
        <f>1498+0</f>
        <v>1498</v>
      </c>
      <c r="L275" s="19">
        <f>SUM(F275:K275)</f>
        <v>324756.09000000003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123311.16-59494</f>
        <v>63817.16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63817.16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229273.98-15912.5-5000-50000-25000</f>
        <v>133361.48000000001</v>
      </c>
      <c r="G278" s="18">
        <f>9326.17-1217.36-362.37-104.5-113.35-1570.71-419.46</f>
        <v>5538.42</v>
      </c>
      <c r="H278" s="18">
        <v>16131.13</v>
      </c>
      <c r="I278" s="18">
        <f>66879.45-382.5-5926.4</f>
        <v>60570.549999999996</v>
      </c>
      <c r="J278" s="18">
        <v>0</v>
      </c>
      <c r="K278" s="18">
        <v>0</v>
      </c>
      <c r="L278" s="19">
        <f>SUM(F278:K278)</f>
        <v>215601.58000000002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49010.92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49010.92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f>126324.75-14700.27-50000</f>
        <v>61624.479999999996</v>
      </c>
      <c r="I281" s="18">
        <v>0</v>
      </c>
      <c r="J281" s="18">
        <v>10880</v>
      </c>
      <c r="K281" s="18">
        <v>0</v>
      </c>
      <c r="L281" s="19">
        <f t="shared" si="12"/>
        <v>72504.479999999996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f>10000+1544.14</f>
        <v>11544.14</v>
      </c>
      <c r="I282" s="18">
        <v>0</v>
      </c>
      <c r="J282" s="18">
        <v>0</v>
      </c>
      <c r="K282" s="18">
        <v>0</v>
      </c>
      <c r="L282" s="19">
        <f t="shared" si="12"/>
        <v>11544.14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3000</v>
      </c>
      <c r="G283" s="18">
        <f>947.75-475</f>
        <v>472.75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3472.75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8407.51</v>
      </c>
      <c r="I286" s="18">
        <v>0</v>
      </c>
      <c r="J286" s="18">
        <v>0</v>
      </c>
      <c r="K286" s="18">
        <v>0</v>
      </c>
      <c r="L286" s="19">
        <f t="shared" si="12"/>
        <v>8407.51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466726.52</v>
      </c>
      <c r="G289" s="42">
        <f t="shared" si="13"/>
        <v>39056.429999999993</v>
      </c>
      <c r="H289" s="42">
        <f t="shared" si="13"/>
        <v>157325.35999999999</v>
      </c>
      <c r="I289" s="42">
        <f t="shared" si="13"/>
        <v>73628.319999999992</v>
      </c>
      <c r="J289" s="42">
        <f t="shared" si="13"/>
        <v>10880</v>
      </c>
      <c r="K289" s="42">
        <f t="shared" si="13"/>
        <v>1498</v>
      </c>
      <c r="L289" s="41">
        <f t="shared" si="13"/>
        <v>749114.63000000012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59494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59494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25000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25000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50000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50000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50000</v>
      </c>
      <c r="I300" s="18">
        <v>0</v>
      </c>
      <c r="J300" s="18">
        <v>0</v>
      </c>
      <c r="K300" s="18">
        <v>0</v>
      </c>
      <c r="L300" s="19">
        <f t="shared" si="14"/>
        <v>50000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3536.06</v>
      </c>
      <c r="I301" s="18">
        <v>0</v>
      </c>
      <c r="J301" s="18">
        <v>0</v>
      </c>
      <c r="K301" s="18">
        <f>29493.46-999.05</f>
        <v>28494.41</v>
      </c>
      <c r="L301" s="19">
        <f t="shared" si="14"/>
        <v>32030.47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3000</v>
      </c>
      <c r="G302" s="18">
        <f>475-0.55</f>
        <v>474.45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3474.45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87494</v>
      </c>
      <c r="G308" s="42">
        <f t="shared" si="15"/>
        <v>474.45</v>
      </c>
      <c r="H308" s="42">
        <f t="shared" si="15"/>
        <v>103536.06</v>
      </c>
      <c r="I308" s="42">
        <f t="shared" si="15"/>
        <v>0</v>
      </c>
      <c r="J308" s="42">
        <f t="shared" si="15"/>
        <v>0</v>
      </c>
      <c r="K308" s="42">
        <f t="shared" si="15"/>
        <v>28494.41</v>
      </c>
      <c r="L308" s="41">
        <f t="shared" si="15"/>
        <v>219998.92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4312.5+36067+279.88+16500</f>
        <v>57159.38</v>
      </c>
      <c r="G313" s="18">
        <f>1292.85+1452+59.91+11+2684.11+3173.83+77.73</f>
        <v>8751.43</v>
      </c>
      <c r="H313" s="18">
        <v>0</v>
      </c>
      <c r="I313" s="18">
        <f>1180.25+741.38+319.42</f>
        <v>2241.0500000000002</v>
      </c>
      <c r="J313" s="18">
        <v>0</v>
      </c>
      <c r="K313" s="18">
        <v>0</v>
      </c>
      <c r="L313" s="19">
        <f>SUM(F313:K313)</f>
        <v>68151.86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15912.5+5000+50000</f>
        <v>70912.5</v>
      </c>
      <c r="G316" s="18">
        <f>1217.36+362.37+104.5+113.35+1570.71+419.46</f>
        <v>3787.75</v>
      </c>
      <c r="H316" s="18">
        <v>41715.5</v>
      </c>
      <c r="I316" s="18">
        <f>382.5+5926.4</f>
        <v>6308.9</v>
      </c>
      <c r="J316" s="18">
        <v>0</v>
      </c>
      <c r="K316" s="18">
        <v>0</v>
      </c>
      <c r="L316" s="19">
        <f>SUM(F316:K316)</f>
        <v>122724.65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9600</v>
      </c>
      <c r="G318" s="18">
        <v>734</v>
      </c>
      <c r="H318" s="18">
        <v>50000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60334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2392.5</v>
      </c>
      <c r="G319" s="18">
        <v>441.91</v>
      </c>
      <c r="H319" s="18">
        <f>3000+11700.27+12483.92</f>
        <v>27184.190000000002</v>
      </c>
      <c r="I319" s="18">
        <v>0</v>
      </c>
      <c r="J319" s="18">
        <v>0</v>
      </c>
      <c r="K319" s="18">
        <v>0</v>
      </c>
      <c r="L319" s="19">
        <f t="shared" si="16"/>
        <v>30018.600000000002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10000</v>
      </c>
      <c r="G320" s="18">
        <v>0</v>
      </c>
      <c r="H320" s="18">
        <v>14682.5</v>
      </c>
      <c r="I320" s="18">
        <v>4203.75</v>
      </c>
      <c r="J320" s="18">
        <v>0</v>
      </c>
      <c r="K320" s="18">
        <v>0</v>
      </c>
      <c r="L320" s="19">
        <f t="shared" si="16"/>
        <v>28886.25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150064.38</v>
      </c>
      <c r="G327" s="42">
        <f t="shared" si="17"/>
        <v>13715.09</v>
      </c>
      <c r="H327" s="42">
        <f t="shared" si="17"/>
        <v>133582.19</v>
      </c>
      <c r="I327" s="42">
        <f t="shared" si="17"/>
        <v>12753.7</v>
      </c>
      <c r="J327" s="42">
        <f t="shared" si="17"/>
        <v>0</v>
      </c>
      <c r="K327" s="42">
        <f t="shared" si="17"/>
        <v>0</v>
      </c>
      <c r="L327" s="41">
        <f t="shared" si="17"/>
        <v>310115.36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704284.9</v>
      </c>
      <c r="G337" s="41">
        <f t="shared" si="20"/>
        <v>53245.969999999987</v>
      </c>
      <c r="H337" s="41">
        <f t="shared" si="20"/>
        <v>394443.61</v>
      </c>
      <c r="I337" s="41">
        <f t="shared" si="20"/>
        <v>86382.01999999999</v>
      </c>
      <c r="J337" s="41">
        <f t="shared" si="20"/>
        <v>10880</v>
      </c>
      <c r="K337" s="41">
        <f t="shared" si="20"/>
        <v>29992.41</v>
      </c>
      <c r="L337" s="41">
        <f t="shared" si="20"/>
        <v>1279228.9100000001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704284.9</v>
      </c>
      <c r="G351" s="41">
        <f>G337</f>
        <v>53245.969999999987</v>
      </c>
      <c r="H351" s="41">
        <f>H337</f>
        <v>394443.61</v>
      </c>
      <c r="I351" s="41">
        <f>I337</f>
        <v>86382.01999999999</v>
      </c>
      <c r="J351" s="41">
        <f>J337</f>
        <v>10880</v>
      </c>
      <c r="K351" s="47">
        <f>K337+K350</f>
        <v>29992.41</v>
      </c>
      <c r="L351" s="41">
        <f>L337+L350</f>
        <v>1279228.9100000001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97892.06</v>
      </c>
      <c r="G357" s="18">
        <v>30727.06</v>
      </c>
      <c r="H357" s="18">
        <f>1185.77</f>
        <v>1185.77</v>
      </c>
      <c r="I357" s="18">
        <v>84649.13</v>
      </c>
      <c r="J357" s="18">
        <v>0</v>
      </c>
      <c r="K357" s="18">
        <v>342</v>
      </c>
      <c r="L357" s="13">
        <f>SUM(F357:K357)</f>
        <v>214796.02000000002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49145.55</v>
      </c>
      <c r="G358" s="18">
        <v>6937.74</v>
      </c>
      <c r="H358" s="18">
        <v>2681.31</v>
      </c>
      <c r="I358" s="18">
        <v>56073.79</v>
      </c>
      <c r="J358" s="18">
        <v>0</v>
      </c>
      <c r="K358" s="18">
        <v>252</v>
      </c>
      <c r="L358" s="19">
        <f>SUM(F358:K358)</f>
        <v>115090.39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118222.56</v>
      </c>
      <c r="G359" s="18">
        <v>45863.1</v>
      </c>
      <c r="H359" s="18">
        <v>4452.05</v>
      </c>
      <c r="I359" s="18">
        <v>161840.26999999999</v>
      </c>
      <c r="J359" s="18">
        <v>0</v>
      </c>
      <c r="K359" s="18">
        <v>306</v>
      </c>
      <c r="L359" s="19">
        <f>SUM(F359:K359)</f>
        <v>330683.98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265260.17</v>
      </c>
      <c r="G361" s="47">
        <f t="shared" si="22"/>
        <v>83527.899999999994</v>
      </c>
      <c r="H361" s="47">
        <f t="shared" si="22"/>
        <v>8319.130000000001</v>
      </c>
      <c r="I361" s="47">
        <f t="shared" si="22"/>
        <v>302563.19</v>
      </c>
      <c r="J361" s="47">
        <f t="shared" si="22"/>
        <v>0</v>
      </c>
      <c r="K361" s="47">
        <f t="shared" si="22"/>
        <v>900</v>
      </c>
      <c r="L361" s="47">
        <f t="shared" si="22"/>
        <v>660570.39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84649.13-2500</f>
        <v>82149.13</v>
      </c>
      <c r="G366" s="18">
        <f>56073.79-1500</f>
        <v>54573.79</v>
      </c>
      <c r="H366" s="18">
        <f>161840.27-3500</f>
        <v>158340.26999999999</v>
      </c>
      <c r="I366" s="56">
        <f>SUM(F366:H366)</f>
        <v>295063.19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2500</v>
      </c>
      <c r="G367" s="63">
        <v>1500</v>
      </c>
      <c r="H367" s="63">
        <v>3500</v>
      </c>
      <c r="I367" s="56">
        <f>SUM(F367:H367)</f>
        <v>7500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84649.13</v>
      </c>
      <c r="G368" s="47">
        <f>SUM(G366:G367)</f>
        <v>56073.79</v>
      </c>
      <c r="H368" s="47">
        <f>SUM(H366:H367)</f>
        <v>161840.26999999999</v>
      </c>
      <c r="I368" s="47">
        <f>SUM(I366:I367)</f>
        <v>302563.19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/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999</v>
      </c>
      <c r="L380" s="13">
        <f t="shared" si="23"/>
        <v>999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999</v>
      </c>
      <c r="L381" s="47">
        <f t="shared" si="24"/>
        <v>999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60000</v>
      </c>
      <c r="H388" s="18">
        <v>13</v>
      </c>
      <c r="I388" s="18"/>
      <c r="J388" s="24" t="s">
        <v>289</v>
      </c>
      <c r="K388" s="24" t="s">
        <v>289</v>
      </c>
      <c r="L388" s="56">
        <f t="shared" si="25"/>
        <v>60013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60000</v>
      </c>
      <c r="H392" s="139">
        <f>SUM(H386:H391)</f>
        <v>13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60013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87</v>
      </c>
      <c r="I399" s="18">
        <v>367304</v>
      </c>
      <c r="J399" s="24" t="s">
        <v>289</v>
      </c>
      <c r="K399" s="24" t="s">
        <v>289</v>
      </c>
      <c r="L399" s="56">
        <f t="shared" si="26"/>
        <v>367391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87</v>
      </c>
      <c r="I400" s="47">
        <f>SUM(I394:I399)</f>
        <v>367304</v>
      </c>
      <c r="J400" s="45" t="s">
        <v>289</v>
      </c>
      <c r="K400" s="45" t="s">
        <v>289</v>
      </c>
      <c r="L400" s="47">
        <f>SUM(L394:L399)</f>
        <v>367391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60000</v>
      </c>
      <c r="H407" s="47">
        <f>H392+H400+H406</f>
        <v>100</v>
      </c>
      <c r="I407" s="47">
        <f>I392+I400+I406</f>
        <v>367304</v>
      </c>
      <c r="J407" s="24" t="s">
        <v>289</v>
      </c>
      <c r="K407" s="24" t="s">
        <v>289</v>
      </c>
      <c r="L407" s="47">
        <f>L392+L400+L406</f>
        <v>427404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2000</v>
      </c>
      <c r="I425" s="18">
        <v>353385</v>
      </c>
      <c r="J425" s="18"/>
      <c r="K425" s="18"/>
      <c r="L425" s="56">
        <f t="shared" si="29"/>
        <v>355385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2000</v>
      </c>
      <c r="I426" s="47">
        <f t="shared" si="30"/>
        <v>353385</v>
      </c>
      <c r="J426" s="47">
        <f t="shared" si="30"/>
        <v>0</v>
      </c>
      <c r="K426" s="47">
        <f t="shared" si="30"/>
        <v>0</v>
      </c>
      <c r="L426" s="47">
        <f t="shared" si="30"/>
        <v>355385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2000</v>
      </c>
      <c r="I433" s="47">
        <f t="shared" si="32"/>
        <v>353385</v>
      </c>
      <c r="J433" s="47">
        <f t="shared" si="32"/>
        <v>0</v>
      </c>
      <c r="K433" s="47">
        <f t="shared" si="32"/>
        <v>0</v>
      </c>
      <c r="L433" s="47">
        <f t="shared" si="32"/>
        <v>355385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137757</v>
      </c>
      <c r="H438" s="18"/>
      <c r="I438" s="56">
        <f t="shared" ref="I438:I444" si="33">SUM(F438:H438)</f>
        <v>137757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60034</v>
      </c>
      <c r="G439" s="18">
        <f>124249+11319</f>
        <v>135568</v>
      </c>
      <c r="H439" s="18"/>
      <c r="I439" s="56">
        <f t="shared" si="33"/>
        <v>195602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60034</v>
      </c>
      <c r="G445" s="13">
        <f>SUM(G438:G444)</f>
        <v>273325</v>
      </c>
      <c r="H445" s="13">
        <f>SUM(H438:H444)</f>
        <v>0</v>
      </c>
      <c r="I445" s="13">
        <f>SUM(I438:I444)</f>
        <v>333359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124249</v>
      </c>
      <c r="H456" s="18"/>
      <c r="I456" s="56">
        <f t="shared" si="34"/>
        <v>124249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60034</v>
      </c>
      <c r="G458" s="18">
        <v>149076</v>
      </c>
      <c r="H458" s="18"/>
      <c r="I458" s="56">
        <f t="shared" si="34"/>
        <v>209110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60034</v>
      </c>
      <c r="G459" s="83">
        <f>SUM(G453:G458)</f>
        <v>273325</v>
      </c>
      <c r="H459" s="83">
        <f>SUM(H453:H458)</f>
        <v>0</v>
      </c>
      <c r="I459" s="83">
        <f>SUM(I453:I458)</f>
        <v>333359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60034</v>
      </c>
      <c r="G460" s="42">
        <f>G451+G459</f>
        <v>273325</v>
      </c>
      <c r="H460" s="42">
        <f>H451+H459</f>
        <v>0</v>
      </c>
      <c r="I460" s="42">
        <f>I451+I459</f>
        <v>333359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758801.94-21</f>
        <v>758780.94</v>
      </c>
      <c r="G464" s="18">
        <v>84637.39</v>
      </c>
      <c r="H464" s="18">
        <v>999</v>
      </c>
      <c r="I464" s="18">
        <v>999</v>
      </c>
      <c r="J464" s="18">
        <f>118016+135157+21</f>
        <v>253194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19586424.07-1.07</f>
        <v>19586423</v>
      </c>
      <c r="G467" s="18">
        <f>588477+73855+49.89</f>
        <v>662381.89</v>
      </c>
      <c r="H467" s="18">
        <v>1279228.9099999999</v>
      </c>
      <c r="I467" s="18"/>
      <c r="J467" s="18">
        <f>87+367304+60034-21</f>
        <v>427404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999</v>
      </c>
      <c r="G468" s="18">
        <v>0</v>
      </c>
      <c r="H468" s="18"/>
      <c r="I468" s="18"/>
      <c r="J468" s="18">
        <v>8146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19587422</v>
      </c>
      <c r="G469" s="53">
        <f>SUM(G467:G468)</f>
        <v>662381.89</v>
      </c>
      <c r="H469" s="53">
        <f>SUM(H467:H468)</f>
        <v>1279228.9099999999</v>
      </c>
      <c r="I469" s="53">
        <f>SUM(I467:I468)</f>
        <v>0</v>
      </c>
      <c r="J469" s="53">
        <f>SUM(J467:J468)</f>
        <v>435550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19738424</v>
      </c>
      <c r="G471" s="18">
        <v>660570.39</v>
      </c>
      <c r="H471" s="18">
        <v>1279228.9099999999</v>
      </c>
      <c r="I471" s="18">
        <v>999</v>
      </c>
      <c r="J471" s="18">
        <f>2000+353385</f>
        <v>355385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73855</v>
      </c>
      <c r="G472" s="18">
        <v>49.89</v>
      </c>
      <c r="H472" s="18">
        <v>999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19812279</v>
      </c>
      <c r="G473" s="53">
        <f>SUM(G471:G472)</f>
        <v>660620.28</v>
      </c>
      <c r="H473" s="53">
        <f>SUM(H471:H472)</f>
        <v>1280227.9099999999</v>
      </c>
      <c r="I473" s="53">
        <f>SUM(I471:I472)</f>
        <v>999</v>
      </c>
      <c r="J473" s="53">
        <f>SUM(J471:J472)</f>
        <v>355385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533923.94000000134</v>
      </c>
      <c r="G475" s="53">
        <f>(G464+G469)- G473</f>
        <v>86399</v>
      </c>
      <c r="H475" s="53">
        <f>(H464+H469)- H473</f>
        <v>0</v>
      </c>
      <c r="I475" s="53">
        <f>(I464+I469)- I473</f>
        <v>0</v>
      </c>
      <c r="J475" s="53">
        <f>(J464+J469)- J473</f>
        <v>333359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2657078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5.54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2479939.46</v>
      </c>
      <c r="G494" s="18"/>
      <c r="H494" s="18"/>
      <c r="I494" s="18"/>
      <c r="J494" s="18"/>
      <c r="K494" s="53">
        <f>SUM(F494:J494)</f>
        <v>2479939.46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88569.27*2</f>
        <v>177138.54</v>
      </c>
      <c r="G496" s="18"/>
      <c r="H496" s="18"/>
      <c r="I496" s="18"/>
      <c r="J496" s="18"/>
      <c r="K496" s="53">
        <f t="shared" si="35"/>
        <v>177138.54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2302600.92</v>
      </c>
      <c r="G497" s="204"/>
      <c r="H497" s="204"/>
      <c r="I497" s="204"/>
      <c r="J497" s="204"/>
      <c r="K497" s="205">
        <f t="shared" si="35"/>
        <v>2302600.92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2302600.92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2302600.92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f>88569.27*2</f>
        <v>177138.54</v>
      </c>
      <c r="G500" s="204"/>
      <c r="H500" s="204"/>
      <c r="I500" s="204"/>
      <c r="J500" s="204"/>
      <c r="K500" s="205">
        <f t="shared" si="35"/>
        <v>177138.54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63787.5+61334.22</f>
        <v>125121.72</v>
      </c>
      <c r="G501" s="18"/>
      <c r="H501" s="18"/>
      <c r="I501" s="18"/>
      <c r="J501" s="18"/>
      <c r="K501" s="53">
        <f t="shared" si="35"/>
        <v>125121.72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302260.26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302260.26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11068</v>
      </c>
      <c r="G506" s="144">
        <v>262</v>
      </c>
      <c r="H506" s="144">
        <v>0</v>
      </c>
      <c r="I506" s="144">
        <v>11330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803357.76</v>
      </c>
      <c r="G520" s="18">
        <v>365172.12</v>
      </c>
      <c r="H520" s="18">
        <f>266+204517.14</f>
        <v>204783.14</v>
      </c>
      <c r="I520" s="18">
        <v>11798.58</v>
      </c>
      <c r="J520" s="18">
        <v>0</v>
      </c>
      <c r="K520" s="18">
        <v>1002.06</v>
      </c>
      <c r="L520" s="88">
        <f>SUM(F520:K520)</f>
        <v>1386113.6600000001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428387.52</v>
      </c>
      <c r="G521" s="18">
        <v>198144.05</v>
      </c>
      <c r="H521" s="18">
        <f>196+88094.84</f>
        <v>88290.84</v>
      </c>
      <c r="I521" s="18">
        <v>1101.6199999999999</v>
      </c>
      <c r="J521" s="18">
        <v>0</v>
      </c>
      <c r="K521" s="18">
        <v>350</v>
      </c>
      <c r="L521" s="88">
        <f>SUM(F521:K521)</f>
        <v>716274.03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626094.14</v>
      </c>
      <c r="G522" s="18">
        <v>288123.78000000003</v>
      </c>
      <c r="H522" s="18">
        <f>238+475584.55</f>
        <v>475822.55</v>
      </c>
      <c r="I522" s="18">
        <v>4514.1000000000004</v>
      </c>
      <c r="J522" s="18">
        <v>359.47</v>
      </c>
      <c r="K522" s="18">
        <v>1487.58</v>
      </c>
      <c r="L522" s="88">
        <f>SUM(F522:K522)</f>
        <v>1396401.62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1857839.42</v>
      </c>
      <c r="G523" s="108">
        <f t="shared" ref="G523:L523" si="36">SUM(G520:G522)</f>
        <v>851439.95</v>
      </c>
      <c r="H523" s="108">
        <f t="shared" si="36"/>
        <v>768896.53</v>
      </c>
      <c r="I523" s="108">
        <f t="shared" si="36"/>
        <v>17414.300000000003</v>
      </c>
      <c r="J523" s="108">
        <f t="shared" si="36"/>
        <v>359.47</v>
      </c>
      <c r="K523" s="108">
        <f t="shared" si="36"/>
        <v>2839.64</v>
      </c>
      <c r="L523" s="89">
        <f t="shared" si="36"/>
        <v>3498789.3100000005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0+106485.12+26424.4</f>
        <v>132909.51999999999</v>
      </c>
      <c r="G525" s="18">
        <f>0+36437.54+16790.93</f>
        <v>53228.47</v>
      </c>
      <c r="H525" s="18">
        <f>356+420.09+77867.13+558.26+42868.99</f>
        <v>122070.47</v>
      </c>
      <c r="I525" s="18">
        <f>556.25+1033.72+551.7</f>
        <v>2141.67</v>
      </c>
      <c r="J525" s="18">
        <v>0</v>
      </c>
      <c r="K525" s="18">
        <v>0</v>
      </c>
      <c r="L525" s="88">
        <f>SUM(F525:K525)</f>
        <v>310350.12999999995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42120.08+60000+13813</f>
        <v>115933.08</v>
      </c>
      <c r="G526" s="18">
        <f>18289.05+20367.49+8728.24</f>
        <v>47384.78</v>
      </c>
      <c r="H526" s="18">
        <f>267+46.75+9811.1+24294.1</f>
        <v>34418.949999999997</v>
      </c>
      <c r="I526" s="18">
        <f>1122.08+0+555.24</f>
        <v>1677.32</v>
      </c>
      <c r="J526" s="18">
        <v>0</v>
      </c>
      <c r="K526" s="18">
        <v>0</v>
      </c>
      <c r="L526" s="88">
        <f>SUM(F526:K526)</f>
        <v>199414.13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28079.92+0+19818.6</f>
        <v>47898.52</v>
      </c>
      <c r="G527" s="18">
        <f>12166.35+0+12522.95</f>
        <v>24689.300000000003</v>
      </c>
      <c r="H527" s="18">
        <f>23256.75+47559.33+35373.97</f>
        <v>106190.05</v>
      </c>
      <c r="I527" s="18">
        <v>0</v>
      </c>
      <c r="J527" s="18">
        <v>0</v>
      </c>
      <c r="K527" s="18">
        <v>0</v>
      </c>
      <c r="L527" s="88">
        <f>SUM(F527:K527)</f>
        <v>178777.87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296741.12</v>
      </c>
      <c r="G528" s="89">
        <f t="shared" ref="G528:L528" si="37">SUM(G525:G527)</f>
        <v>125302.55</v>
      </c>
      <c r="H528" s="89">
        <f t="shared" si="37"/>
        <v>262679.46999999997</v>
      </c>
      <c r="I528" s="89">
        <f t="shared" si="37"/>
        <v>3818.99</v>
      </c>
      <c r="J528" s="89">
        <f t="shared" si="37"/>
        <v>0</v>
      </c>
      <c r="K528" s="89">
        <f t="shared" si="37"/>
        <v>0</v>
      </c>
      <c r="L528" s="89">
        <f t="shared" si="37"/>
        <v>688542.12999999989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(6953.45+33969.81)*(6/13)</f>
        <v>18887.65846153846</v>
      </c>
      <c r="G530" s="18">
        <f>(559.12+2390.23+19196.32+3622.94)*(6/13)</f>
        <v>11893.204615384615</v>
      </c>
      <c r="H530" s="18">
        <f>(18024.82-1760-77.52-960)*(6/13)</f>
        <v>7027.9846153846156</v>
      </c>
      <c r="I530" s="18"/>
      <c r="J530" s="18"/>
      <c r="K530" s="18"/>
      <c r="L530" s="88">
        <f>SUM(F530:K530)</f>
        <v>37808.847692307689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(6953.45+33969.81)*(3/13)</f>
        <v>9443.82923076923</v>
      </c>
      <c r="G531" s="18">
        <f>(559.12+2390.23+19196.32+3622.94)*(3/13)</f>
        <v>5946.6023076923075</v>
      </c>
      <c r="H531" s="18">
        <f>(18024.82-1760-77.52-960)*(3/13)</f>
        <v>3513.9923076923078</v>
      </c>
      <c r="I531" s="18"/>
      <c r="J531" s="18"/>
      <c r="K531" s="18"/>
      <c r="L531" s="88">
        <f>SUM(F531:K531)</f>
        <v>18904.423846153844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(6953.45+33969.81)*(4/13)</f>
        <v>12591.772307692307</v>
      </c>
      <c r="G532" s="18">
        <f>(559.12+2390.23+19196.32+3622.94)*(4/13)</f>
        <v>7928.8030769230763</v>
      </c>
      <c r="H532" s="18">
        <f>(18024.82-1760-77.52-960)*(4/13)</f>
        <v>4685.3230769230768</v>
      </c>
      <c r="I532" s="18"/>
      <c r="J532" s="18"/>
      <c r="K532" s="18"/>
      <c r="L532" s="88">
        <f>SUM(F532:K532)</f>
        <v>25205.898461538458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40923.259999999995</v>
      </c>
      <c r="G533" s="89">
        <f>SUM(G530:G532)</f>
        <v>25768.609999999997</v>
      </c>
      <c r="H533" s="89">
        <f t="shared" ref="H533:L533" si="38">SUM(H530:H532)</f>
        <v>15227.3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81919.169999999984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342203.85-H541-H542</f>
        <v>120425.26999999996</v>
      </c>
      <c r="I540" s="18"/>
      <c r="J540" s="18"/>
      <c r="K540" s="18"/>
      <c r="L540" s="88">
        <f>SUM(F540:K540)</f>
        <v>120425.26999999996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47647.14</v>
      </c>
      <c r="I541" s="18"/>
      <c r="J541" s="18"/>
      <c r="K541" s="18"/>
      <c r="L541" s="88">
        <f>SUM(F541:K541)</f>
        <v>47647.14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174131.44</v>
      </c>
      <c r="I542" s="18"/>
      <c r="J542" s="18"/>
      <c r="K542" s="18"/>
      <c r="L542" s="88">
        <f>SUM(F542:K542)</f>
        <v>174131.44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342203.85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342203.85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2195503.7999999998</v>
      </c>
      <c r="G544" s="89">
        <f t="shared" ref="G544:L544" si="41">G523+G528+G533+G538+G543</f>
        <v>1002511.11</v>
      </c>
      <c r="H544" s="89">
        <f t="shared" si="41"/>
        <v>1389007.15</v>
      </c>
      <c r="I544" s="89">
        <f t="shared" si="41"/>
        <v>21233.29</v>
      </c>
      <c r="J544" s="89">
        <f t="shared" si="41"/>
        <v>359.47</v>
      </c>
      <c r="K544" s="89">
        <f t="shared" si="41"/>
        <v>2839.64</v>
      </c>
      <c r="L544" s="89">
        <f t="shared" si="41"/>
        <v>4611454.46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1386113.6600000001</v>
      </c>
      <c r="G548" s="87">
        <f>L525</f>
        <v>310350.12999999995</v>
      </c>
      <c r="H548" s="87">
        <f>L530</f>
        <v>37808.847692307689</v>
      </c>
      <c r="I548" s="87">
        <f>L535</f>
        <v>0</v>
      </c>
      <c r="J548" s="87">
        <f>L540</f>
        <v>120425.26999999996</v>
      </c>
      <c r="K548" s="87">
        <f>SUM(F548:J548)</f>
        <v>1854697.9076923078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716274.03</v>
      </c>
      <c r="G549" s="87">
        <f>L526</f>
        <v>199414.13</v>
      </c>
      <c r="H549" s="87">
        <f>L531</f>
        <v>18904.423846153844</v>
      </c>
      <c r="I549" s="87">
        <f>L536</f>
        <v>0</v>
      </c>
      <c r="J549" s="87">
        <f>L541</f>
        <v>47647.14</v>
      </c>
      <c r="K549" s="87">
        <f>SUM(F549:J549)</f>
        <v>982239.72384615394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1396401.62</v>
      </c>
      <c r="G550" s="87">
        <f>L527</f>
        <v>178777.87</v>
      </c>
      <c r="H550" s="87">
        <f>L532</f>
        <v>25205.898461538458</v>
      </c>
      <c r="I550" s="87">
        <f>L537</f>
        <v>0</v>
      </c>
      <c r="J550" s="87">
        <f>L542</f>
        <v>174131.44</v>
      </c>
      <c r="K550" s="87">
        <f>SUM(F550:J550)</f>
        <v>1774516.8284615385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3498789.3100000005</v>
      </c>
      <c r="G551" s="89">
        <f t="shared" si="42"/>
        <v>688542.12999999989</v>
      </c>
      <c r="H551" s="89">
        <f t="shared" si="42"/>
        <v>81919.169999999984</v>
      </c>
      <c r="I551" s="89">
        <f t="shared" si="42"/>
        <v>0</v>
      </c>
      <c r="J551" s="89">
        <f t="shared" si="42"/>
        <v>342203.85</v>
      </c>
      <c r="K551" s="89">
        <f t="shared" si="42"/>
        <v>4611454.4600000009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13774.29</v>
      </c>
      <c r="I577" s="87">
        <f t="shared" si="47"/>
        <v>13774.29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77364.7+1296.9+122778.75</f>
        <v>201440.34999999998</v>
      </c>
      <c r="G578" s="18">
        <v>88094.84</v>
      </c>
      <c r="H578" s="18">
        <v>461700.7</v>
      </c>
      <c r="I578" s="87">
        <f t="shared" si="47"/>
        <v>751235.8899999999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0</v>
      </c>
      <c r="G581" s="18">
        <v>0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f>32187.42</f>
        <v>32187.42</v>
      </c>
      <c r="I583" s="87">
        <f>SUM(F583:H583)</f>
        <v>32187.42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1003073.69-I590-J590</f>
        <v>401487.32</v>
      </c>
      <c r="I590" s="18">
        <f>216597.24+1590.71+53405.9</f>
        <v>271593.84999999998</v>
      </c>
      <c r="J590" s="18">
        <f>264594.42+334.06+65064.04</f>
        <v>329992.51999999996</v>
      </c>
      <c r="K590" s="104">
        <f t="shared" ref="K590:K596" si="48">SUM(H590:J590)</f>
        <v>1003073.69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342203.85-I591-J591</f>
        <v>120425.26999999996</v>
      </c>
      <c r="I591" s="18">
        <v>47647.14</v>
      </c>
      <c r="J591" s="18">
        <v>174131.44</v>
      </c>
      <c r="K591" s="104">
        <f t="shared" si="48"/>
        <v>342203.85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39328.04</v>
      </c>
      <c r="K592" s="104">
        <f t="shared" si="48"/>
        <v>39328.04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12856.41</v>
      </c>
      <c r="J593" s="18">
        <v>33462.58</v>
      </c>
      <c r="K593" s="104">
        <f t="shared" si="48"/>
        <v>46318.990000000005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32492.66-I594-J594</f>
        <v>17369.87</v>
      </c>
      <c r="I594" s="18">
        <f>5001.66+2327.04</f>
        <v>7328.7</v>
      </c>
      <c r="J594" s="18">
        <f>5189.49+2604.6</f>
        <v>7794.09</v>
      </c>
      <c r="K594" s="104">
        <f t="shared" si="48"/>
        <v>32492.66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539282.46</v>
      </c>
      <c r="I597" s="108">
        <f>SUM(I590:I596)</f>
        <v>339426.1</v>
      </c>
      <c r="J597" s="108">
        <f>SUM(J590:J596)</f>
        <v>584708.66999999993</v>
      </c>
      <c r="K597" s="108">
        <f>SUM(K590:K596)</f>
        <v>1463417.23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212033.39-I603-J603</f>
        <v>86078.960000000021</v>
      </c>
      <c r="I603" s="18">
        <f>31965.21</f>
        <v>31965.21</v>
      </c>
      <c r="J603" s="18">
        <f>93989.22</f>
        <v>93989.22</v>
      </c>
      <c r="K603" s="104">
        <f>SUM(H603:J603)</f>
        <v>212033.39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86078.960000000021</v>
      </c>
      <c r="I604" s="108">
        <f>SUM(I601:I603)</f>
        <v>31965.21</v>
      </c>
      <c r="J604" s="108">
        <f>SUM(J601:J603)</f>
        <v>93989.22</v>
      </c>
      <c r="K604" s="108">
        <f>SUM(K601:K603)</f>
        <v>212033.39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22036.43+16640.25</f>
        <v>38676.68</v>
      </c>
      <c r="G610" s="18">
        <f>3205.9+3358.74</f>
        <v>6564.6399999999994</v>
      </c>
      <c r="H610" s="18">
        <v>1942</v>
      </c>
      <c r="I610" s="18">
        <v>6620.4</v>
      </c>
      <c r="J610" s="18">
        <v>0</v>
      </c>
      <c r="K610" s="18">
        <v>0</v>
      </c>
      <c r="L610" s="88">
        <f>SUM(F610:K610)</f>
        <v>53803.72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4759</v>
      </c>
      <c r="G611" s="18">
        <v>901.68</v>
      </c>
      <c r="H611" s="18">
        <v>0</v>
      </c>
      <c r="I611" s="18">
        <v>185.34</v>
      </c>
      <c r="J611" s="18">
        <v>0</v>
      </c>
      <c r="K611" s="18">
        <v>0</v>
      </c>
      <c r="L611" s="88">
        <f>SUM(F611:K611)</f>
        <v>5846.02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2043.76</v>
      </c>
      <c r="G612" s="18">
        <f>229.1+0</f>
        <v>229.1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2272.86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45479.44</v>
      </c>
      <c r="G613" s="108">
        <f t="shared" si="49"/>
        <v>7695.42</v>
      </c>
      <c r="H613" s="108">
        <f t="shared" si="49"/>
        <v>1942</v>
      </c>
      <c r="I613" s="108">
        <f t="shared" si="49"/>
        <v>6805.74</v>
      </c>
      <c r="J613" s="108">
        <f t="shared" si="49"/>
        <v>0</v>
      </c>
      <c r="K613" s="108">
        <f t="shared" si="49"/>
        <v>0</v>
      </c>
      <c r="L613" s="89">
        <f t="shared" si="49"/>
        <v>61922.600000000006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819343.94</v>
      </c>
      <c r="H616" s="109">
        <f>SUM(F51)</f>
        <v>819343.94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97182</v>
      </c>
      <c r="H617" s="109">
        <f>SUM(G51)</f>
        <v>97182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151941</v>
      </c>
      <c r="H618" s="109">
        <f>SUM(H51)</f>
        <v>151941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333359</v>
      </c>
      <c r="H620" s="109">
        <f>SUM(J51)</f>
        <v>333359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533923.93999999994</v>
      </c>
      <c r="H621" s="109">
        <f>F475</f>
        <v>533923.94000000134</v>
      </c>
      <c r="I621" s="121" t="s">
        <v>101</v>
      </c>
      <c r="J621" s="109">
        <f t="shared" ref="J621:J654" si="50">G621-H621</f>
        <v>-1.3969838619232178E-9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86399</v>
      </c>
      <c r="H622" s="109">
        <f>G475</f>
        <v>86399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333359</v>
      </c>
      <c r="H625" s="109">
        <f>J475</f>
        <v>333359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19586423</v>
      </c>
      <c r="H626" s="104">
        <f>SUM(F467)</f>
        <v>19586423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662381.89</v>
      </c>
      <c r="H627" s="104">
        <f>SUM(G467)</f>
        <v>662381.89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1279228.9100000001</v>
      </c>
      <c r="H628" s="104">
        <f>SUM(H467)</f>
        <v>1279228.9099999999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427404</v>
      </c>
      <c r="H630" s="104">
        <f>SUM(J467)</f>
        <v>427404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19738424</v>
      </c>
      <c r="H631" s="104">
        <f>SUM(F471)</f>
        <v>19738424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1279228.9100000001</v>
      </c>
      <c r="H632" s="104">
        <f>SUM(H471)</f>
        <v>1279228.9099999999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302563.19</v>
      </c>
      <c r="H633" s="104">
        <f>I368</f>
        <v>302563.19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660570.39</v>
      </c>
      <c r="H634" s="104">
        <f>SUM(G471)</f>
        <v>660570.39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999</v>
      </c>
      <c r="H635" s="104">
        <f>SUM(I471)</f>
        <v>999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427404</v>
      </c>
      <c r="H636" s="164">
        <f>SUM(J467)</f>
        <v>427404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355385</v>
      </c>
      <c r="H637" s="164">
        <f>SUM(J471)</f>
        <v>355385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60034</v>
      </c>
      <c r="H638" s="104">
        <f>SUM(F460)</f>
        <v>60034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273325</v>
      </c>
      <c r="H639" s="104">
        <f>SUM(G460)</f>
        <v>273325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333359</v>
      </c>
      <c r="H641" s="104">
        <f>SUM(I460)</f>
        <v>333359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100</v>
      </c>
      <c r="H643" s="104">
        <f>H407</f>
        <v>100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60000</v>
      </c>
      <c r="H644" s="104">
        <f>G407</f>
        <v>60000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427404</v>
      </c>
      <c r="H645" s="104">
        <f>L407</f>
        <v>427404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1463417.23</v>
      </c>
      <c r="H646" s="104">
        <f>L207+L225+L243</f>
        <v>1463417.23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212033.39</v>
      </c>
      <c r="H647" s="104">
        <f>(J256+J337)-(J254+J335)</f>
        <v>212033.39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539282.46</v>
      </c>
      <c r="H648" s="104">
        <f>H597</f>
        <v>539282.46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339426.10000000003</v>
      </c>
      <c r="H649" s="104">
        <f>I597</f>
        <v>339426.1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584708.67000000004</v>
      </c>
      <c r="H650" s="104">
        <f>J597</f>
        <v>584708.66999999993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73854.52</v>
      </c>
      <c r="H651" s="104">
        <f>K262+K344</f>
        <v>73854.52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60000</v>
      </c>
      <c r="H654" s="104">
        <f>K265+K346</f>
        <v>60000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9015167.959999999</v>
      </c>
      <c r="G659" s="19">
        <f>(L228+L308+L358)</f>
        <v>4600471.97</v>
      </c>
      <c r="H659" s="19">
        <f>(L246+L327+L359)</f>
        <v>7544026.0300000012</v>
      </c>
      <c r="I659" s="19">
        <f>SUM(F659:H659)</f>
        <v>21159665.960000001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85396.788609431926</v>
      </c>
      <c r="G660" s="19">
        <f>(L358/IF(SUM(L357:L359)=0,1,SUM(L357:L359))*(SUM(G96:G109)))</f>
        <v>45756.66581628038</v>
      </c>
      <c r="H660" s="19">
        <f>(L359/IF(SUM(L357:L359)=0,1,SUM(L357:L359))*(SUM(G96:G109)))</f>
        <v>131470.54557428768</v>
      </c>
      <c r="I660" s="19">
        <f>SUM(F660:H660)</f>
        <v>262624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547689.97</v>
      </c>
      <c r="G661" s="19">
        <f>(L225+L305)-(J225+J305)</f>
        <v>339426.10000000003</v>
      </c>
      <c r="H661" s="19">
        <f>(L243+L324)-(J243+J324)</f>
        <v>584708.67000000004</v>
      </c>
      <c r="I661" s="19">
        <f>SUM(F661:H661)</f>
        <v>1471824.7400000002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341323.03</v>
      </c>
      <c r="G662" s="199">
        <f>SUM(G574:G586)+SUM(I601:I603)+L611</f>
        <v>125906.06999999999</v>
      </c>
      <c r="H662" s="199">
        <f>SUM(H575:H586)+SUM(J601:J603)+L612</f>
        <v>603924.49</v>
      </c>
      <c r="I662" s="19">
        <f>SUM(F662:H662)</f>
        <v>1071153.5900000001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8040758.171390567</v>
      </c>
      <c r="G663" s="19">
        <f>G659-SUM(G660:G662)</f>
        <v>4089383.1341837193</v>
      </c>
      <c r="H663" s="19">
        <f>H659-SUM(H660:H662)</f>
        <v>6223922.3244257141</v>
      </c>
      <c r="I663" s="19">
        <f>I659-SUM(I660:I662)</f>
        <v>18354063.630000003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152.15+227.84+49.69+125.58</f>
        <v>555.26</v>
      </c>
      <c r="G664" s="248">
        <v>256.89999999999998</v>
      </c>
      <c r="H664" s="248">
        <v>391.13</v>
      </c>
      <c r="I664" s="19">
        <f>SUM(F664:H664)</f>
        <v>1203.29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14481.07</v>
      </c>
      <c r="G666" s="19">
        <f>ROUND(G663/G664,2)</f>
        <v>15918.19</v>
      </c>
      <c r="H666" s="19">
        <f>ROUND(H663/H664,2)</f>
        <v>15912.67</v>
      </c>
      <c r="I666" s="19">
        <f>ROUND(I663/I664,2)</f>
        <v>15253.23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-4.96</v>
      </c>
      <c r="I669" s="19">
        <f>SUM(F669:H669)</f>
        <v>-4.96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14481.07</v>
      </c>
      <c r="G671" s="19">
        <f>ROUND((G663+G668)/(G664+G669),2)</f>
        <v>15918.19</v>
      </c>
      <c r="H671" s="19">
        <f>ROUND((H663+H668)/(H664+H669),2)</f>
        <v>16117.05</v>
      </c>
      <c r="I671" s="19">
        <f>ROUND((I663+I668)/(I664+I669),2)</f>
        <v>15316.37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horizontalDpi="300" verticalDpi="300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Newfound Area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5360436.6999999993</v>
      </c>
      <c r="C9" s="229">
        <f>'DOE25'!G196+'DOE25'!G214+'DOE25'!G232+'DOE25'!G275+'DOE25'!G294+'DOE25'!G313</f>
        <v>2248505.14</v>
      </c>
    </row>
    <row r="10" spans="1:3" x14ac:dyDescent="0.2">
      <c r="A10" t="s">
        <v>779</v>
      </c>
      <c r="B10" s="240">
        <f>5036729.44-263975.25+(323707.26-184590.77-17810)</f>
        <v>4894060.6800000006</v>
      </c>
      <c r="C10" s="240">
        <f>(2315759.66+41796.69)*0.913</f>
        <v>2152448.9475500002</v>
      </c>
    </row>
    <row r="11" spans="1:3" x14ac:dyDescent="0.2">
      <c r="A11" t="s">
        <v>780</v>
      </c>
      <c r="B11" s="240">
        <f>263975.25+184590.77+17810</f>
        <v>466376.02</v>
      </c>
      <c r="C11" s="240">
        <f>C9-C10</f>
        <v>96056.192449999973</v>
      </c>
    </row>
    <row r="12" spans="1:3" x14ac:dyDescent="0.2">
      <c r="A12" t="s">
        <v>781</v>
      </c>
      <c r="B12" s="240">
        <v>0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5360436.7000000011</v>
      </c>
      <c r="C13" s="231">
        <f>SUM(C10:C12)</f>
        <v>2248505.14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1970361.6700000002</v>
      </c>
      <c r="C18" s="229">
        <f>'DOE25'!G197+'DOE25'!G215+'DOE25'!G233+'DOE25'!G276+'DOE25'!G295+'DOE25'!G314</f>
        <v>851439.95</v>
      </c>
    </row>
    <row r="19" spans="1:3" x14ac:dyDescent="0.2">
      <c r="A19" t="s">
        <v>779</v>
      </c>
      <c r="B19" s="240">
        <f>602925.6+23443.01+59494</f>
        <v>685862.61</v>
      </c>
      <c r="C19" s="240">
        <f>(685862.61/1970361.67)*C18</f>
        <v>296377.47996045288</v>
      </c>
    </row>
    <row r="20" spans="1:3" x14ac:dyDescent="0.2">
      <c r="A20" t="s">
        <v>780</v>
      </c>
      <c r="B20" s="240">
        <f>(1847050.51+123311.16)-B19</f>
        <v>1284499.06</v>
      </c>
      <c r="C20" s="240">
        <f>C18-C19</f>
        <v>555062.47003954707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1970361.67</v>
      </c>
      <c r="C22" s="231">
        <f>SUM(C19:C21)</f>
        <v>851439.95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450791.37</v>
      </c>
      <c r="C36" s="235">
        <f>'DOE25'!G199+'DOE25'!G217+'DOE25'!G235+'DOE25'!G278+'DOE25'!G297+'DOE25'!G316</f>
        <v>56066.489999999991</v>
      </c>
    </row>
    <row r="37" spans="1:3" x14ac:dyDescent="0.2">
      <c r="A37" t="s">
        <v>779</v>
      </c>
      <c r="B37" s="240">
        <f>34297.2+5668</f>
        <v>39965.199999999997</v>
      </c>
      <c r="C37" s="240">
        <f>C36-C39</f>
        <v>4970.6108751549546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(221517.39-B37)+229273.98</f>
        <v>410826.17000000004</v>
      </c>
      <c r="C39" s="240">
        <f>(410826.17/450791.37)*C36</f>
        <v>51095.879124845036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450791.37000000005</v>
      </c>
      <c r="C40" s="231">
        <f>SUM(C37:C39)</f>
        <v>56066.489999999991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horizontalDpi="300" verticalDpi="300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Newfound Area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11421563.129999999</v>
      </c>
      <c r="D5" s="20">
        <f>SUM('DOE25'!L196:L199)+SUM('DOE25'!L214:L217)+SUM('DOE25'!L232:L235)-F5-G5</f>
        <v>11318933.059999999</v>
      </c>
      <c r="E5" s="243"/>
      <c r="F5" s="255">
        <f>SUM('DOE25'!J196:J199)+SUM('DOE25'!J214:J217)+SUM('DOE25'!J232:J235)</f>
        <v>27278.460000000003</v>
      </c>
      <c r="G5" s="53">
        <f>SUM('DOE25'!K196:K199)+SUM('DOE25'!K214:K217)+SUM('DOE25'!K232:K235)</f>
        <v>75351.61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1963945.7800000003</v>
      </c>
      <c r="D6" s="20">
        <f>'DOE25'!L201+'DOE25'!L219+'DOE25'!L237-F6-G6</f>
        <v>1963451.5100000002</v>
      </c>
      <c r="E6" s="243"/>
      <c r="F6" s="255">
        <f>'DOE25'!J201+'DOE25'!J219+'DOE25'!J237</f>
        <v>454.27000000000004</v>
      </c>
      <c r="G6" s="53">
        <f>'DOE25'!K201+'DOE25'!K219+'DOE25'!K237</f>
        <v>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778210.44</v>
      </c>
      <c r="D7" s="20">
        <f>'DOE25'!L202+'DOE25'!L220+'DOE25'!L238-F7-G7</f>
        <v>486158.04999999993</v>
      </c>
      <c r="E7" s="243"/>
      <c r="F7" s="255">
        <f>'DOE25'!J202+'DOE25'!J220+'DOE25'!J238</f>
        <v>158754.91000000003</v>
      </c>
      <c r="G7" s="53">
        <f>'DOE25'!K202+'DOE25'!K220+'DOE25'!K238</f>
        <v>133297.48000000001</v>
      </c>
      <c r="H7" s="259"/>
    </row>
    <row r="8" spans="1:9" x14ac:dyDescent="0.2">
      <c r="A8" s="32">
        <v>2300</v>
      </c>
      <c r="B8" t="s">
        <v>802</v>
      </c>
      <c r="C8" s="245">
        <f t="shared" si="0"/>
        <v>738643.72</v>
      </c>
      <c r="D8" s="243"/>
      <c r="E8" s="20">
        <f>'DOE25'!L203+'DOE25'!L221+'DOE25'!L239-F8-G8-D9-D11</f>
        <v>711262.23</v>
      </c>
      <c r="F8" s="255">
        <f>'DOE25'!J203+'DOE25'!J221+'DOE25'!J239</f>
        <v>2111.4100000000003</v>
      </c>
      <c r="G8" s="53">
        <f>'DOE25'!K203+'DOE25'!K221+'DOE25'!K239</f>
        <v>25270.079999999998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1165711.8400000001</v>
      </c>
      <c r="D12" s="20">
        <f>'DOE25'!L204+'DOE25'!L222+'DOE25'!L240-F12-G12</f>
        <v>1145198.9400000002</v>
      </c>
      <c r="E12" s="243"/>
      <c r="F12" s="255">
        <f>'DOE25'!J204+'DOE25'!J222+'DOE25'!J240</f>
        <v>1646.98</v>
      </c>
      <c r="G12" s="53">
        <f>'DOE25'!K204+'DOE25'!K222+'DOE25'!K240</f>
        <v>18865.919999999998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1524189.2799999998</v>
      </c>
      <c r="D14" s="20">
        <f>'DOE25'!L206+'DOE25'!L224+'DOE25'!L242-F14-G14</f>
        <v>1513281.9199999997</v>
      </c>
      <c r="E14" s="243"/>
      <c r="F14" s="255">
        <f>'DOE25'!J206+'DOE25'!J224+'DOE25'!J242</f>
        <v>10907.36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1463417.23</v>
      </c>
      <c r="D15" s="20">
        <f>'DOE25'!L207+'DOE25'!L225+'DOE25'!L243-F15-G15</f>
        <v>1463417.23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164185.24</v>
      </c>
      <c r="D16" s="243"/>
      <c r="E16" s="20">
        <f>'DOE25'!L208+'DOE25'!L226+'DOE25'!L244-F16-G16</f>
        <v>164185.24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72629.009999999995</v>
      </c>
      <c r="D22" s="243"/>
      <c r="E22" s="243"/>
      <c r="F22" s="255">
        <f>'DOE25'!L254+'DOE25'!L335</f>
        <v>72629.009999999995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312073.81000000006</v>
      </c>
      <c r="D25" s="243"/>
      <c r="E25" s="243"/>
      <c r="F25" s="258"/>
      <c r="G25" s="256"/>
      <c r="H25" s="257">
        <f>'DOE25'!L259+'DOE25'!L260+'DOE25'!L340+'DOE25'!L341</f>
        <v>312073.81000000006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365507.2</v>
      </c>
      <c r="D29" s="20">
        <f>'DOE25'!L357+'DOE25'!L358+'DOE25'!L359-'DOE25'!I366-F29-G29</f>
        <v>364607.2</v>
      </c>
      <c r="E29" s="243"/>
      <c r="F29" s="255">
        <f>'DOE25'!J357+'DOE25'!J358+'DOE25'!J359</f>
        <v>0</v>
      </c>
      <c r="G29" s="53">
        <f>'DOE25'!K357+'DOE25'!K358+'DOE25'!K359</f>
        <v>900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1279228.9100000001</v>
      </c>
      <c r="D31" s="20">
        <f>'DOE25'!L289+'DOE25'!L308+'DOE25'!L327+'DOE25'!L332+'DOE25'!L333+'DOE25'!L334-F31-G31</f>
        <v>1238356.5000000002</v>
      </c>
      <c r="E31" s="243"/>
      <c r="F31" s="255">
        <f>'DOE25'!J289+'DOE25'!J308+'DOE25'!J327+'DOE25'!J332+'DOE25'!J333+'DOE25'!J334</f>
        <v>10880</v>
      </c>
      <c r="G31" s="53">
        <f>'DOE25'!K289+'DOE25'!K308+'DOE25'!K327+'DOE25'!K332+'DOE25'!K333+'DOE25'!K334</f>
        <v>29992.41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19493404.409999996</v>
      </c>
      <c r="E33" s="246">
        <f>SUM(E5:E31)</f>
        <v>875447.47</v>
      </c>
      <c r="F33" s="246">
        <f>SUM(F5:F31)</f>
        <v>284662.40000000008</v>
      </c>
      <c r="G33" s="246">
        <f>SUM(G5:G31)</f>
        <v>283717.5</v>
      </c>
      <c r="H33" s="246">
        <f>SUM(H5:H31)</f>
        <v>312073.81000000006</v>
      </c>
    </row>
    <row r="35" spans="2:8" ht="12" thickBot="1" x14ac:dyDescent="0.25">
      <c r="B35" s="253" t="s">
        <v>847</v>
      </c>
      <c r="D35" s="254">
        <f>E33</f>
        <v>875447.47</v>
      </c>
      <c r="E35" s="249"/>
    </row>
    <row r="36" spans="2:8" ht="12" thickTop="1" x14ac:dyDescent="0.2">
      <c r="B36" t="s">
        <v>815</v>
      </c>
      <c r="D36" s="20">
        <f>D33</f>
        <v>19493404.409999996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I14" sqref="I1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Newfound Area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710911</v>
      </c>
      <c r="D8" s="95">
        <f>'DOE25'!G9</f>
        <v>31715</v>
      </c>
      <c r="E8" s="95">
        <f>'DOE25'!H9</f>
        <v>0</v>
      </c>
      <c r="F8" s="95">
        <f>'DOE25'!I9</f>
        <v>0</v>
      </c>
      <c r="G8" s="95">
        <f>'DOE25'!J9</f>
        <v>137757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8450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195602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86808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9249.94</v>
      </c>
      <c r="D12" s="95">
        <f>'DOE25'!G13</f>
        <v>52129</v>
      </c>
      <c r="E12" s="95">
        <f>'DOE25'!H13</f>
        <v>151941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3925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13338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819343.94</v>
      </c>
      <c r="D18" s="41">
        <f>SUM(D8:D17)</f>
        <v>97182</v>
      </c>
      <c r="E18" s="41">
        <f>SUM(E8:E17)</f>
        <v>151941</v>
      </c>
      <c r="F18" s="41">
        <f>SUM(F8:F17)</f>
        <v>0</v>
      </c>
      <c r="G18" s="41">
        <f>SUM(G8:G17)</f>
        <v>333359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86808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168971</v>
      </c>
      <c r="D23" s="95">
        <f>'DOE25'!G24</f>
        <v>0</v>
      </c>
      <c r="E23" s="95">
        <f>'DOE25'!H24</f>
        <v>5879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59788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56661</v>
      </c>
      <c r="D29" s="95">
        <f>'DOE25'!G30</f>
        <v>10783</v>
      </c>
      <c r="E29" s="95">
        <f>'DOE25'!H30</f>
        <v>59254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285420</v>
      </c>
      <c r="D31" s="41">
        <f>SUM(D21:D30)</f>
        <v>10783</v>
      </c>
      <c r="E31" s="41">
        <f>SUM(E21:E30)</f>
        <v>151941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13338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124249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116490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73061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209110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357433.94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533923.93999999994</v>
      </c>
      <c r="D49" s="41">
        <f>SUM(D34:D48)</f>
        <v>86399</v>
      </c>
      <c r="E49" s="41">
        <f>SUM(E34:E48)</f>
        <v>0</v>
      </c>
      <c r="F49" s="41">
        <f>SUM(F34:F48)</f>
        <v>0</v>
      </c>
      <c r="G49" s="41">
        <f>SUM(G34:G48)</f>
        <v>333359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819343.94</v>
      </c>
      <c r="D50" s="41">
        <f>D49+D31</f>
        <v>97182</v>
      </c>
      <c r="E50" s="41">
        <f>E49+E31</f>
        <v>151941</v>
      </c>
      <c r="F50" s="41">
        <f>F49+F31</f>
        <v>0</v>
      </c>
      <c r="G50" s="41">
        <f>G49+G31</f>
        <v>333359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10875212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32249.15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2678.93</v>
      </c>
      <c r="D58" s="95">
        <f>'DOE25'!G95</f>
        <v>50.37</v>
      </c>
      <c r="E58" s="95">
        <f>'DOE25'!H95</f>
        <v>0</v>
      </c>
      <c r="F58" s="95">
        <f>'DOE25'!I95</f>
        <v>0</v>
      </c>
      <c r="G58" s="95">
        <f>'DOE25'!J95</f>
        <v>100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262624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39415.01</v>
      </c>
      <c r="D60" s="95">
        <f>SUM('DOE25'!G97:G109)</f>
        <v>0</v>
      </c>
      <c r="E60" s="95">
        <f>SUM('DOE25'!H97:H109)</f>
        <v>154797.72</v>
      </c>
      <c r="F60" s="95">
        <f>SUM('DOE25'!I97:I109)</f>
        <v>0</v>
      </c>
      <c r="G60" s="95">
        <f>SUM('DOE25'!J97:J109)</f>
        <v>367304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74343.09</v>
      </c>
      <c r="D61" s="130">
        <f>SUM(D56:D60)</f>
        <v>262674.37</v>
      </c>
      <c r="E61" s="130">
        <f>SUM(E56:E60)</f>
        <v>154797.72</v>
      </c>
      <c r="F61" s="130">
        <f>SUM(F56:F60)</f>
        <v>0</v>
      </c>
      <c r="G61" s="130">
        <f>SUM(G56:G60)</f>
        <v>367404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10949555.09</v>
      </c>
      <c r="D62" s="22">
        <f>D55+D61</f>
        <v>262674.37</v>
      </c>
      <c r="E62" s="22">
        <f>E55+E61</f>
        <v>154797.72</v>
      </c>
      <c r="F62" s="22">
        <f>F55+F61</f>
        <v>0</v>
      </c>
      <c r="G62" s="22">
        <f>G55+G61</f>
        <v>367404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3786776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4236576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8023352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97426.2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128886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6897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6409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233209.2</v>
      </c>
      <c r="D77" s="130">
        <f>SUM(D71:D76)</f>
        <v>6409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18125.22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8256561.2000000002</v>
      </c>
      <c r="D80" s="130">
        <f>SUM(D78:D79)+D77+D69</f>
        <v>6409</v>
      </c>
      <c r="E80" s="130">
        <f>SUM(E78:E79)+E77+E69</f>
        <v>18125.22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377301.38</v>
      </c>
      <c r="D87" s="95">
        <f>SUM('DOE25'!G152:G160)</f>
        <v>319444</v>
      </c>
      <c r="E87" s="95">
        <f>SUM('DOE25'!H152:H160)</f>
        <v>1106305.9700000002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3005.33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380306.71</v>
      </c>
      <c r="D90" s="131">
        <f>SUM(D84:D89)</f>
        <v>319444</v>
      </c>
      <c r="E90" s="131">
        <f>SUM(E84:E89)</f>
        <v>1106305.9700000002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73854.52</v>
      </c>
      <c r="E95" s="95">
        <f>'DOE25'!H178</f>
        <v>0</v>
      </c>
      <c r="F95" s="95">
        <f>'DOE25'!I178</f>
        <v>0</v>
      </c>
      <c r="G95" s="95">
        <f>'DOE25'!J178</f>
        <v>60000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73854.52</v>
      </c>
      <c r="E102" s="86">
        <f>SUM(E92:E101)</f>
        <v>0</v>
      </c>
      <c r="F102" s="86">
        <f>SUM(F92:F101)</f>
        <v>0</v>
      </c>
      <c r="G102" s="86">
        <f>SUM(G92:G101)</f>
        <v>60000</v>
      </c>
    </row>
    <row r="103" spans="1:7" ht="12.75" thickTop="1" thickBot="1" x14ac:dyDescent="0.25">
      <c r="A103" s="33" t="s">
        <v>765</v>
      </c>
      <c r="C103" s="86">
        <f>C62+C80+C90+C102</f>
        <v>19586423</v>
      </c>
      <c r="D103" s="86">
        <f>D62+D80+D90+D102</f>
        <v>662381.89</v>
      </c>
      <c r="E103" s="86">
        <f>E62+E80+E90+E102</f>
        <v>1279228.9100000001</v>
      </c>
      <c r="F103" s="86">
        <f>F62+F80+F90+F102</f>
        <v>0</v>
      </c>
      <c r="G103" s="86">
        <f>G62+G80+G102</f>
        <v>427404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7531086.9899999993</v>
      </c>
      <c r="D108" s="24" t="s">
        <v>289</v>
      </c>
      <c r="E108" s="95">
        <f>('DOE25'!L275)+('DOE25'!L294)+('DOE25'!L313)</f>
        <v>392907.95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3488000.4000000004</v>
      </c>
      <c r="D109" s="24" t="s">
        <v>289</v>
      </c>
      <c r="E109" s="95">
        <f>('DOE25'!L276)+('DOE25'!L295)+('DOE25'!L314)</f>
        <v>123311.16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32187.42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370288.32</v>
      </c>
      <c r="D111" s="24" t="s">
        <v>289</v>
      </c>
      <c r="E111" s="95">
        <f>+('DOE25'!L278)+('DOE25'!L297)+('DOE25'!L316)</f>
        <v>363326.23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11421563.130000001</v>
      </c>
      <c r="D114" s="86">
        <f>SUM(D108:D113)</f>
        <v>0</v>
      </c>
      <c r="E114" s="86">
        <f>SUM(E108:E113)</f>
        <v>879545.34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1963945.7800000003</v>
      </c>
      <c r="D117" s="24" t="s">
        <v>289</v>
      </c>
      <c r="E117" s="95">
        <f>+('DOE25'!L280)+('DOE25'!L299)+('DOE25'!L318)</f>
        <v>159344.91999999998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778210.44</v>
      </c>
      <c r="D118" s="24" t="s">
        <v>289</v>
      </c>
      <c r="E118" s="95">
        <f>+('DOE25'!L281)+('DOE25'!L300)+('DOE25'!L319)</f>
        <v>152523.07999999999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738643.72</v>
      </c>
      <c r="D119" s="24" t="s">
        <v>289</v>
      </c>
      <c r="E119" s="95">
        <f>+('DOE25'!L282)+('DOE25'!L301)+('DOE25'!L320)</f>
        <v>72460.86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1165711.8400000001</v>
      </c>
      <c r="D120" s="24" t="s">
        <v>289</v>
      </c>
      <c r="E120" s="95">
        <f>+('DOE25'!L283)+('DOE25'!L302)+('DOE25'!L321)</f>
        <v>6947.2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1524189.2799999998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1463417.23</v>
      </c>
      <c r="D123" s="24" t="s">
        <v>289</v>
      </c>
      <c r="E123" s="95">
        <f>+('DOE25'!L286)+('DOE25'!L305)+('DOE25'!L324)</f>
        <v>8407.51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164185.24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660570.39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7798303.5300000012</v>
      </c>
      <c r="D127" s="86">
        <f>SUM(D117:D126)</f>
        <v>660570.39</v>
      </c>
      <c r="E127" s="86">
        <f>SUM(E117:E126)</f>
        <v>399683.57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72629.009999999995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177138.54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134935.27000000002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999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73854.52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60013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367391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-367404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518557.34000000008</v>
      </c>
      <c r="D143" s="141">
        <f>SUM(D129:D142)</f>
        <v>0</v>
      </c>
      <c r="E143" s="141">
        <f>SUM(E129:E142)</f>
        <v>0</v>
      </c>
      <c r="F143" s="141">
        <f>SUM(F129:F142)</f>
        <v>999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19738424.000000004</v>
      </c>
      <c r="D144" s="86">
        <f>(D114+D127+D143)</f>
        <v>660570.39</v>
      </c>
      <c r="E144" s="86">
        <f>(E114+E127+E143)</f>
        <v>1279228.9099999999</v>
      </c>
      <c r="F144" s="86">
        <f>(F114+F127+F143)</f>
        <v>999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01/26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2657078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2479939.46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2479939.46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177138.54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177138.54</v>
      </c>
    </row>
    <row r="158" spans="1:9" x14ac:dyDescent="0.2">
      <c r="A158" s="22" t="s">
        <v>35</v>
      </c>
      <c r="B158" s="137">
        <f>'DOE25'!F497</f>
        <v>2302600.92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2302600.92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2302600.92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2302600.92</v>
      </c>
    </row>
    <row r="161" spans="1:7" x14ac:dyDescent="0.2">
      <c r="A161" s="22" t="s">
        <v>38</v>
      </c>
      <c r="B161" s="137">
        <f>'DOE25'!F500</f>
        <v>177138.54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177138.54</v>
      </c>
    </row>
    <row r="162" spans="1:7" x14ac:dyDescent="0.2">
      <c r="A162" s="22" t="s">
        <v>39</v>
      </c>
      <c r="B162" s="137">
        <f>'DOE25'!F501</f>
        <v>125121.72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125121.72</v>
      </c>
    </row>
    <row r="163" spans="1:7" x14ac:dyDescent="0.2">
      <c r="A163" s="22" t="s">
        <v>246</v>
      </c>
      <c r="B163" s="137">
        <f>'DOE25'!F502</f>
        <v>302260.26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302260.26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Newfound Area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14481</v>
      </c>
    </row>
    <row r="5" spans="1:4" x14ac:dyDescent="0.2">
      <c r="B5" t="s">
        <v>704</v>
      </c>
      <c r="C5" s="179">
        <f>IF('DOE25'!G664+'DOE25'!G669=0,0,ROUND('DOE25'!G671,0))</f>
        <v>15918</v>
      </c>
    </row>
    <row r="6" spans="1:4" x14ac:dyDescent="0.2">
      <c r="B6" t="s">
        <v>62</v>
      </c>
      <c r="C6" s="179">
        <f>IF('DOE25'!H664+'DOE25'!H669=0,0,ROUND('DOE25'!H671,0))</f>
        <v>16117</v>
      </c>
    </row>
    <row r="7" spans="1:4" x14ac:dyDescent="0.2">
      <c r="B7" t="s">
        <v>705</v>
      </c>
      <c r="C7" s="179">
        <f>IF('DOE25'!I664+'DOE25'!I669=0,0,ROUND('DOE25'!I671,0))</f>
        <v>15316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7923995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3611312</v>
      </c>
      <c r="D11" s="182">
        <f>ROUND((C11/$C$28)*100,1)</f>
        <v>17.2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32187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733615</v>
      </c>
      <c r="D13" s="182">
        <f>ROUND((C13/$C$28)*100,1)</f>
        <v>3.5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2123291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930734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975290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1172659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1524189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1471825</v>
      </c>
      <c r="D21" s="182">
        <f t="shared" si="0"/>
        <v>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134935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397946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21031978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72629</v>
      </c>
    </row>
    <row r="30" spans="1:4" x14ac:dyDescent="0.2">
      <c r="B30" s="187" t="s">
        <v>729</v>
      </c>
      <c r="C30" s="180">
        <f>SUM(C28:C29)</f>
        <v>21104607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177139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10875212</v>
      </c>
      <c r="D35" s="182">
        <f t="shared" ref="D35:D40" si="1">ROUND((C35/$C$41)*100,1)</f>
        <v>50.4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596595.1799999997</v>
      </c>
      <c r="D36" s="182">
        <f t="shared" si="1"/>
        <v>2.8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8023352</v>
      </c>
      <c r="D37" s="182">
        <f t="shared" si="1"/>
        <v>37.200000000000003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257743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1806057</v>
      </c>
      <c r="D39" s="182">
        <f t="shared" si="1"/>
        <v>8.4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21558959.18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horizontalDpi="300" verticalDpi="300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Newfound Area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horizontalDpi="300" verticalDpi="300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2013-08-26T15:48:02Z</cp:lastPrinted>
  <dcterms:created xsi:type="dcterms:W3CDTF">1997-12-04T19:04:30Z</dcterms:created>
  <dcterms:modified xsi:type="dcterms:W3CDTF">2013-12-05T18:53:07Z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VERS">
    <vt:lpwstr>1.0</vt:lpwstr>
  </property>
  <property fmtid="{D5CDD505-2E9C-101B-9397-08002B2CF9AE}" pid="3" name="PPC_Template_Client_Name">
    <vt:lpwstr>City of Westbrook</vt:lpwstr>
  </property>
  <property fmtid="{D5CDD505-2E9C-101B-9397-08002B2CF9AE}" pid="4" name="PPC_Template_Engagement_Date">
    <vt:lpwstr>6/30/2013</vt:lpwstr>
  </property>
</Properties>
</file>