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F663" i="1"/>
  <c r="F671" i="1" s="1"/>
  <c r="C4" i="10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C16" i="13"/>
  <c r="H33" i="13"/>
  <c r="F666" i="1"/>
  <c r="E33" i="13" l="1"/>
  <c r="D35" i="13" s="1"/>
  <c r="L336" i="1"/>
  <c r="C23" i="10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G630" i="1" l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<sst xmlns="http://schemas.openxmlformats.org/spreadsheetml/2006/main" count="3944" uniqueCount="910">
  <si>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</si>
  <si>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</si>
  <si>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</si>
  <si>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</si>
  <si>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</si>
  <si>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</si>
  <si>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</si>
  <si>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</si>
  <si>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</si>
  <si>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</si>
  <si>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</si>
  <si>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</si>
  <si>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</si>
  <si>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</si>
  <si>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</si>
  <si>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</si>
  <si>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</si>
  <si>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</si>
  <si>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</si>
  <si>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</si>
  <si>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</si>
  <si>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</si>
  <si>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</si>
  <si>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</si>
  <si>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</si>
  <si>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</si>
  <si>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</si>
  <si>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</si>
  <si>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</si>
  <si>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</si>
  <si>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</si>
  <si>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</si>
  <si>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</si>
  <si>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</si>
  <si>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</si>
  <si>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</si>
  <si>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</si>
  <si>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</si>
  <si>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</si>
  <si>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</si>
  <si>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</si>
  <si>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</si>
  <si>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</si>
  <si>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</si>
  <si>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</si>
  <si>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</si>
  <si>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</si>
  <si>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</si>
  <si>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</si>
  <si>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</si>
  <si>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</si>
  <si>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</si>
  <si>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</si>
  <si>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</si>
  <si>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</si>
  <si>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</si>
  <si>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</si>
  <si>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</si>
  <si>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</si>
  <si>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</si>
  <si>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</si>
  <si>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</si>
  <si>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</si>
  <si>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</si>
  <si>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</si>
  <si>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</si>
  <si>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</si>
  <si>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</si>
  <si>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</si>
  <si>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</si>
  <si>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</si>
  <si>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</si>
  <si>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</si>
  <si>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</si>
  <si>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</si>
  <si>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</si>
  <si>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</si>
  <si>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</si>
  <si>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</si>
  <si>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</si>
  <si>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</si>
  <si>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</si>
  <si>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</si>
  <si>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</si>
  <si>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</si>
  <si>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</si>
  <si>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</si>
  <si>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</si>
  <si>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</si>
  <si>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</si>
  <si>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</si>
  <si>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</si>
  <si>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</si>
  <si>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</si>
  <si>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</si>
  <si>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</si>
  <si>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</si>
  <si>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</si>
  <si>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</si>
  <si>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</si>
  <si>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</si>
  <si>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</si>
  <si>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</si>
  <si>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</si>
  <si>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</si>
  <si>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</si>
  <si>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</si>
  <si>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</si>
  <si>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</si>
  <si>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</si>
  <si>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</si>
  <si>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</si>
  <si>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</si>
  <si>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</si>
  <si>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</si>
  <si>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</si>
  <si>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</si>
  <si>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</si>
  <si>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</si>
  <si>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</si>
  <si>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</si>
  <si>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</si>
  <si>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</si>
  <si>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</si>
  <si>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</si>
  <si>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</si>
  <si>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</si>
  <si>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</si>
  <si>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</si>
  <si>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</si>
  <si>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</si>
  <si>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</si>
  <si>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</si>
  <si>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</si>
  <si>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</si>
  <si>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</si>
  <si>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</si>
  <si>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</si>
  <si>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</si>
  <si>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</si>
  <si>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</si>
  <si>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</si>
  <si>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</si>
  <si>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</si>
  <si>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</si>
  <si>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</si>
  <si>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</si>
  <si>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</si>
  <si>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</si>
  <si>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</si>
  <si>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</si>
  <si>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</si>
  <si>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</si>
  <si>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</si>
  <si>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</si>
  <si>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</si>
  <si>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</si>
  <si>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</si>
  <si>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</si>
  <si>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</si>
  <si>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</si>
  <si>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</si>
  <si>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</si>
  <si>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</si>
  <si>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</si>
  <si>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</si>
  <si>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</si>
  <si>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</si>
  <si>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</si>
  <si>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</si>
  <si>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</si>
  <si>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</si>
  <si>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</si>
  <si>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</si>
  <si>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</si>
  <si>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</si>
  <si>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</si>
  <si>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</si>
  <si>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</si>
  <si>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</si>
  <si>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</si>
  <si>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</si>
  <si>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</si>
  <si>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</si>
  <si>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</si>
  <si>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</si>
  <si>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</si>
  <si>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</si>
  <si>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</si>
  <si>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</si>
  <si>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</si>
  <si>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</si>
  <si>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</si>
  <si>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</si>
  <si>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</si>
  <si>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</si>
  <si>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</si>
  <si>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</si>
  <si>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</si>
  <si>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</si>
  <si>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</si>
  <si>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</si>
  <si>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</si>
  <si>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</si>
  <si>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</si>
  <si>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</si>
  <si>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</si>
  <si>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</si>
  <si>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</si>
  <si>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</si>
  <si>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</si>
  <si>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</si>
  <si>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</si>
  <si>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</si>
  <si>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</si>
  <si>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</si>
  <si>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</si>
  <si>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</si>
  <si>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</si>
  <si>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</si>
  <si>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</si>
  <si>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</si>
  <si>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</si>
  <si>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</si>
  <si>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</si>
  <si>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</si>
  <si>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</si>
  <si>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</si>
  <si>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</si>
  <si>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</si>
  <si>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</si>
  <si>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</si>
  <si>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</si>
  <si>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</si>
  <si>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</si>
  <si>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</si>
  <si>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</si>
  <si>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</si>
  <si>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</si>
  <si>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</si>
  <si>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</si>
  <si>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</si>
  <si>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</si>
  <si>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</si>
  <si>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</si>
  <si>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</si>
  <si>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</si>
  <si>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</si>
  <si>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</si>
  <si>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</si>
  <si>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</si>
  <si>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</si>
  <si>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</si>
  <si>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</si>
  <si>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</si>
  <si>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</si>
  <si>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</si>
  <si>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</si>
  <si>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</si>
  <si>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</si>
  <si>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</si>
  <si>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</si>
  <si>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</si>
  <si>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</si>
  <si>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</si>
  <si>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</si>
  <si>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</si>
  <si>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</si>
  <si>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</si>
  <si>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</si>
  <si>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</si>
  <si>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</si>
  <si>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</si>
  <si>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</si>
  <si>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</si>
  <si>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</si>
  <si>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</si>
  <si>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</si>
  <si>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</si>
  <si>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</si>
  <si>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</si>
  <si>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</si>
  <si>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</si>
  <si>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</si>
  <si>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</si>
  <si>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</si>
  <si>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</si>
  <si>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</si>
  <si>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</si>
  <si>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</si>
  <si>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</si>
  <si>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</si>
  <si>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</si>
  <si>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</si>
  <si>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</si>
  <si>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</si>
  <si>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</si>
  <si>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</si>
  <si>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</si>
  <si>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</si>
  <si>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</si>
  <si>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</si>
  <si>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</si>
  <si>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</si>
  <si>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</si>
  <si>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</si>
  <si>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</si>
  <si>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</si>
  <si>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</si>
  <si>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</si>
  <si>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</si>
  <si>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</si>
  <si>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</si>
  <si>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</si>
  <si>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</si>
  <si>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</si>
  <si>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</si>
  <si>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</si>
  <si>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</si>
  <si>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</si>
  <si>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</si>
  <si>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</si>
  <si>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</si>
  <si>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</si>
  <si>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</si>
  <si>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</si>
  <si>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</si>
  <si>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</si>
  <si>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</si>
  <si>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</si>
  <si>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</si>
  <si>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</si>
  <si>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</si>
  <si>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</si>
  <si>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</si>
  <si>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</si>
  <si>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</si>
  <si>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</si>
  <si>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</si>
  <si>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</si>
  <si>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</si>
  <si>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</si>
  <si>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</si>
  <si>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</si>
  <si>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</si>
  <si>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</si>
  <si>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</si>
  <si>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</si>
  <si>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</si>
  <si>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</si>
  <si>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</si>
  <si>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</si>
  <si>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</si>
  <si>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</si>
  <si>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</si>
  <si>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</si>
  <si>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</si>
  <si>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</si>
  <si>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</si>
  <si>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</si>
  <si>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</si>
  <si>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</si>
  <si>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</si>
  <si>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</si>
  <si>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</si>
  <si>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</si>
  <si>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</si>
  <si>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</si>
  <si>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</si>
  <si>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</si>
  <si>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</si>
  <si>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</si>
  <si>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</si>
  <si>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</si>
  <si>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</si>
  <si>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</si>
  <si>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</si>
  <si>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</si>
  <si>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</si>
  <si>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</si>
  <si>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</si>
  <si>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</si>
  <si>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</si>
  <si>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</si>
  <si>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</si>
  <si>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</si>
  <si>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</si>
  <si>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</si>
  <si>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</si>
  <si>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</si>
  <si>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</si>
  <si>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</si>
  <si>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</si>
  <si>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</si>
  <si>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</si>
  <si>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</si>
  <si>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</si>
  <si>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</si>
  <si>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</si>
  <si>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</si>
  <si>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</si>
  <si>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</si>
  <si>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</si>
  <si>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</si>
  <si>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</si>
  <si>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</si>
  <si>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</si>
  <si>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</si>
  <si>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</si>
  <si>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</si>
  <si>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</si>
  <si>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</si>
  <si>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</si>
  <si>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</si>
  <si>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</si>
  <si>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</si>
  <si>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</si>
  <si>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</si>
  <si>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</si>
  <si>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</si>
  <si>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</si>
  <si>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</si>
  <si>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</si>
  <si>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</si>
  <si>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</si>
  <si>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</si>
  <si>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</si>
  <si>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</si>
  <si>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</si>
  <si>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</si>
  <si>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</si>
  <si>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</si>
  <si>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</si>
  <si>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</si>
  <si>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</si>
  <si>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</si>
  <si>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</si>
  <si>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</si>
  <si>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</si>
  <si>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</si>
  <si>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</si>
  <si>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</si>
  <si>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</si>
  <si>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</si>
  <si>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</si>
  <si>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</si>
  <si>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</si>
  <si>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</si>
  <si>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</si>
  <si>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</si>
  <si>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</si>
  <si>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</si>
  <si>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</si>
  <si>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</si>
  <si>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</si>
  <si>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</si>
  <si>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</si>
  <si>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</si>
  <si>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</si>
  <si>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</si>
  <si>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</si>
  <si>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</si>
  <si>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</si>
  <si>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</si>
  <si>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</si>
  <si>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</si>
  <si>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</si>
  <si>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</si>
  <si>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</si>
  <si>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</si>
  <si>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</si>
  <si>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</si>
  <si>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</si>
  <si>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</si>
  <si>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</si>
  <si>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</si>
  <si>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</si>
  <si>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</si>
  <si>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</si>
  <si>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</si>
  <si>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</si>
  <si>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</si>
  <si>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</si>
  <si>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</si>
  <si>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</si>
  <si>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</si>
  <si>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</si>
  <si>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</si>
  <si>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</si>
  <si>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</si>
  <si>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</si>
  <si>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</si>
  <si>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</si>
  <si>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</si>
  <si>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</si>
  <si>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</si>
  <si>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</si>
  <si>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</si>
  <si>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</si>
  <si>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</si>
  <si>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</si>
  <si>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</si>
  <si>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</si>
  <si>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</si>
  <si>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</si>
  <si>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</si>
  <si>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</si>
  <si>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</si>
  <si>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</si>
  <si>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</si>
  <si>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</si>
  <si>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</si>
  <si>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</si>
  <si>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</si>
  <si>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</si>
  <si>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</si>
  <si>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</si>
  <si>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</si>
  <si>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</si>
  <si>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</si>
  <si>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</si>
  <si>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</si>
  <si>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</si>
  <si>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</si>
  <si>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</si>
  <si>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</si>
  <si>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</si>
  <si>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</si>
  <si>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</si>
  <si>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</si>
  <si>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</si>
  <si>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</si>
  <si>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</si>
  <si>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</si>
  <si>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</si>
  <si>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</si>
  <si>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</si>
  <si>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</si>
  <si>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</si>
  <si>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</si>
  <si>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</si>
  <si>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</si>
  <si>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</si>
  <si>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</si>
  <si>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</si>
  <si>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</si>
  <si>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</si>
  <si>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</si>
  <si>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</si>
  <si>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</si>
  <si>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</si>
  <si>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</si>
  <si>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</si>
  <si>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</si>
  <si>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</si>
  <si>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</si>
  <si>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</si>
  <si>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</si>
  <si>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</si>
  <si>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</si>
  <si>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</si>
  <si>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</si>
  <si>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</si>
  <si>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</si>
  <si>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</si>
  <si>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</si>
  <si>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</si>
  <si>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</si>
  <si>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</si>
  <si>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</si>
  <si>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</si>
  <si>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</si>
  <si>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</si>
  <si>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</si>
  <si>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</si>
  <si>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</si>
  <si>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</si>
  <si>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</si>
  <si>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</si>
  <si>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</si>
  <si>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</si>
  <si>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</si>
  <si>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</si>
  <si>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</si>
  <si>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</si>
  <si>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</si>
  <si>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</si>
  <si>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</si>
  <si>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</si>
  <si>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</si>
  <si>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</si>
  <si>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</si>
  <si>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</si>
  <si>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</si>
  <si>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</si>
  <si>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</si>
  <si>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</si>
  <si>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</si>
  <si>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</si>
  <si>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</si>
  <si>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</si>
  <si>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</si>
  <si>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</si>
  <si>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</si>
  <si>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</si>
  <si>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</si>
  <si>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</si>
  <si>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</si>
  <si>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</si>
  <si>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</si>
  <si>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</si>
  <si>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</si>
  <si>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</si>
  <si>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</si>
  <si>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</si>
  <si>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</si>
  <si>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</si>
  <si>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</si>
  <si>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</si>
  <si>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</si>
  <si>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</si>
  <si>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</si>
  <si>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</si>
  <si>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</si>
  <si>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</si>
  <si>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</si>
  <si>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</si>
  <si>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</si>
  <si>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</si>
  <si>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</si>
  <si>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</si>
  <si>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</si>
  <si>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</si>
  <si>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</si>
  <si>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</si>
  <si>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</si>
  <si>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</si>
  <si>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</si>
  <si>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</si>
  <si>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</si>
  <si>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</si>
  <si>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</si>
  <si>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</si>
  <si>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</si>
  <si>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</si>
  <si>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</si>
  <si>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</si>
  <si>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</si>
  <si>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</si>
  <si>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</si>
  <si>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</si>
  <si>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</si>
  <si>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</si>
  <si>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</si>
  <si>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</si>
  <si>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</si>
  <si>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</si>
  <si>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</si>
  <si>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</si>
  <si>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</si>
  <si>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</si>
  <si>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</si>
  <si>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</si>
  <si>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</si>
  <si>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</si>
  <si>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</si>
  <si>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</si>
  <si>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</si>
  <si>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</si>
  <si>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</si>
  <si>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</si>
  <si>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</si>
  <si>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</si>
  <si>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</si>
  <si>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</si>
  <si>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</si>
  <si>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</si>
  <si>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</si>
  <si>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</si>
  <si>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</si>
  <si>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</si>
  <si>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</si>
  <si>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</si>
  <si>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</si>
  <si>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</si>
  <si>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</si>
  <si>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</si>
  <si>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</si>
  <si>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</si>
  <si>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</si>
  <si>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</si>
  <si>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</si>
  <si>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</si>
  <si>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</si>
  <si>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</si>
  <si>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</si>
  <si>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</si>
  <si>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</si>
  <si>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</si>
  <si>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</si>
  <si>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</si>
  <si>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</si>
  <si>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</si>
  <si>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</si>
  <si>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</si>
  <si>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</si>
  <si>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</si>
  <si>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</si>
  <si>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</si>
  <si>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</si>
  <si>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</si>
  <si>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</si>
  <si>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</si>
  <si>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</si>
  <si>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</si>
  <si>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</si>
  <si>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</si>
  <si>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</si>
  <si>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</si>
  <si>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</si>
  <si>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</si>
  <si>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</si>
  <si>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</si>
  <si>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</si>
  <si>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</si>
  <si>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</si>
  <si>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</si>
  <si>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</si>
  <si>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</si>
  <si>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</si>
  <si>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</si>
  <si>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</si>
  <si>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</si>
  <si>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</si>
  <si>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</si>
  <si>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</si>
  <si>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</si>
  <si>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</si>
  <si>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</si>
  <si>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</si>
  <si>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</si>
  <si>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</si>
  <si>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</si>
  <si>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</si>
  <si>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</si>
  <si>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</si>
  <si>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</si>
  <si>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</si>
  <si>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</si>
  <si>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</si>
  <si>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</si>
  <si>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</si>
  <si>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</si>
  <si>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</si>
  <si>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</si>
  <si>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</si>
  <si>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</si>
  <si>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</si>
  <si>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</si>
  <si>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</si>
  <si>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</si>
  <si>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</si>
  <si>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</si>
  <si>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</si>
  <si>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</si>
  <si>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</si>
  <si>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</si>
  <si>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</si>
  <si>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</si>
  <si>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</si>
  <si>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</si>
  <si>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</si>
  <si>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</si>
  <si>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</si>
  <si>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</si>
  <si>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</si>
  <si>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</si>
  <si>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</si>
  <si>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</si>
  <si>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</si>
  <si>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</si>
  <si>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</si>
  <si>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</si>
  <si>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</si>
  <si>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</si>
  <si>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</si>
  <si>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</si>
  <si>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</si>
  <si>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</si>
  <si>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</si>
  <si>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</si>
  <si>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</si>
  <si>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</si>
  <si>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</si>
  <si>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</si>
  <si>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</si>
  <si>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</si>
  <si>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</si>
  <si>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</si>
  <si>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</si>
  <si>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</si>
  <si>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</si>
  <si>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</si>
  <si>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</si>
  <si>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</si>
  <si>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</si>
  <si>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</si>
  <si>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</si>
  <si>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</si>
  <si>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</si>
  <si>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</si>
  <si>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</si>
  <si>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</si>
  <si>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</si>
  <si>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</si>
  <si>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</si>
  <si>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</si>
  <si>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</si>
  <si>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</si>
  <si>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</si>
  <si>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</si>
  <si>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</si>
  <si>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</si>
  <si>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</si>
  <si>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</si>
  <si>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</si>
  <si>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</si>
  <si>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</si>
  <si>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</si>
  <si>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</si>
  <si>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</si>
  <si>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</si>
  <si>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</si>
  <si>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</si>
  <si>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</si>
  <si>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</si>
  <si>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</si>
  <si>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</si>
  <si>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</si>
  <si>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</si>
  <si>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</si>
  <si>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</si>
  <si>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</si>
  <si>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</si>
  <si>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</si>
  <si>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</si>
  <si>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</si>
  <si>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</si>
  <si>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</si>
  <si>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</si>
  <si>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</si>
  <si>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</si>
  <si>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</si>
  <si>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</si>
  <si>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</si>
  <si>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</si>
  <si>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</si>
  <si>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</si>
  <si>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</si>
  <si>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</si>
  <si>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</si>
  <si>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</si>
  <si>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</si>
  <si>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</si>
  <si>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</si>
  <si>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</si>
  <si>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</si>
  <si>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</si>
  <si>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</si>
  <si>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</si>
  <si>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</si>
  <si>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</si>
  <si>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</si>
  <si>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</si>
  <si>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</si>
  <si>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</si>
  <si>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</si>
  <si>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</si>
  <si>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</si>
  <si>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</si>
  <si>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</si>
  <si>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</si>
  <si>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</si>
  <si>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</si>
  <si>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</si>
  <si>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</si>
  <si>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</si>
  <si>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</si>
  <si>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</si>
  <si>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</si>
  <si>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</si>
  <si>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</si>
  <si>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</si>
  <si>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</si>
  <si>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</si>
  <si>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</si>
  <si>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</si>
  <si>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</si>
  <si>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</si>
  <si>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</si>
  <si>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</si>
  <si>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</si>
  <si>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</si>
  <si>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</si>
  <si>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</si>
  <si>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</si>
  <si>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</si>
  <si>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</si>
  <si>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</si>
  <si>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Newport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</si>
</sst>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401</v>
      </c>
      <c r="C2" s="21">
        <v>401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317677.46000000002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974705.36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258655.23</v>
      </c>
      <c r="G12" s="18">
        <v>-59317.18</v>
      </c>
      <c r="H12" s="18">
        <v>-200143.05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378785.18</v>
      </c>
      <c r="G13" s="18">
        <v>12356.69</v>
      </c>
      <c r="H13" s="18">
        <v>227840.37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7772.93</v>
      </c>
      <c r="G14" s="18">
        <v>56615.5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11296.43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14209.96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>
        <v>1093.01</v>
      </c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977100.76000000013</v>
      </c>
      <c r="G19" s="41">
        <f>SUM(G9:G18)</f>
        <v>22044.45</v>
      </c>
      <c r="H19" s="41">
        <f>SUM(H9:H18)</f>
        <v>27697.320000000007</v>
      </c>
      <c r="I19" s="41">
        <f>SUM(I9:I18)</f>
        <v>0</v>
      </c>
      <c r="J19" s="41">
        <f>SUM(J9:J18)</f>
        <v>974705.36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1763.83</v>
      </c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85287.95</v>
      </c>
      <c r="G23" s="18"/>
      <c r="H23" s="18">
        <v>442.05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>
        <v>8708.8700000000008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833.5</v>
      </c>
      <c r="G29" s="18"/>
      <c r="H29" s="18">
        <v>8916.4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10328.969999999999</v>
      </c>
      <c r="H30" s="18">
        <v>9630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87885.28</v>
      </c>
      <c r="G32" s="41">
        <f>SUM(G22:G31)</f>
        <v>10328.969999999999</v>
      </c>
      <c r="H32" s="41">
        <f>SUM(H22:H31)</f>
        <v>27697.32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11296.43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139771.43</v>
      </c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175165.76</v>
      </c>
      <c r="G47" s="18">
        <v>419.05</v>
      </c>
      <c r="H47" s="18"/>
      <c r="I47" s="18"/>
      <c r="J47" s="13">
        <f>SUM(I458)</f>
        <v>974705.36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574278.29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889215.48</v>
      </c>
      <c r="G50" s="41">
        <f>SUM(G35:G49)</f>
        <v>11715.48</v>
      </c>
      <c r="H50" s="41">
        <f>SUM(H35:H49)</f>
        <v>0</v>
      </c>
      <c r="I50" s="41">
        <f>SUM(I35:I49)</f>
        <v>0</v>
      </c>
      <c r="J50" s="41">
        <f>SUM(J35:J49)</f>
        <v>974705.36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977100.76</v>
      </c>
      <c r="G51" s="41">
        <f>G50+G32</f>
        <v>22044.449999999997</v>
      </c>
      <c r="H51" s="41">
        <f>H50+H32</f>
        <v>27697.32</v>
      </c>
      <c r="I51" s="41">
        <f>I50+I32</f>
        <v>0</v>
      </c>
      <c r="J51" s="41">
        <f>J50+J32</f>
        <v>974705.36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5300082</v>
      </c>
      <c r="G56" s="18">
        <v>13380.28</v>
      </c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5300082</v>
      </c>
      <c r="G59" s="41">
        <f>SUM(G56:G58)</f>
        <v>13380.28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15382.5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25970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1826760.81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10248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1878361.31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498.45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498.45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1584.4</v>
      </c>
      <c r="G95" s="18"/>
      <c r="H95" s="18"/>
      <c r="I95" s="18"/>
      <c r="J95" s="18">
        <v>19466.82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136312.85999999999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5200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>
        <v>13813.22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7136.08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13920.48</v>
      </c>
      <c r="G110" s="41">
        <f>SUM(G95:G109)</f>
        <v>150126.07999999999</v>
      </c>
      <c r="H110" s="41">
        <f>SUM(H95:H109)</f>
        <v>0</v>
      </c>
      <c r="I110" s="41">
        <f>SUM(I95:I109)</f>
        <v>0</v>
      </c>
      <c r="J110" s="41">
        <f>SUM(J95:J109)</f>
        <v>19466.82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7192862.2400000012</v>
      </c>
      <c r="G111" s="41">
        <f>G59+G110</f>
        <v>163506.35999999999</v>
      </c>
      <c r="H111" s="41">
        <f>H59+H78+H93+H110</f>
        <v>0</v>
      </c>
      <c r="I111" s="41">
        <f>I59+I110</f>
        <v>0</v>
      </c>
      <c r="J111" s="41">
        <f>J59+J110</f>
        <v>19466.82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6931339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1051082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7982421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334082.03000000003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250374.58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112417.33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2184.87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6440.44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699058.80999999994</v>
      </c>
      <c r="G135" s="41">
        <f>SUM(G122:G134)</f>
        <v>6440.44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8681479.8100000005</v>
      </c>
      <c r="G139" s="41">
        <f>G120+SUM(G135:G136)</f>
        <v>6440.44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9920.3700000000008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656554.76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135398.69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37145.370000000003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294441.28000000003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370150.53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59767.360000000001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35.14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59767.360000000001</v>
      </c>
      <c r="G161" s="41">
        <f>SUM(G149:G160)</f>
        <v>294441.28000000003</v>
      </c>
      <c r="H161" s="41">
        <f>SUM(H149:H160)</f>
        <v>1209204.8600000001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2370</v>
      </c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>
        <v>82116.53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59767.360000000001</v>
      </c>
      <c r="G168" s="41">
        <f>G146+G161+SUM(G162:G167)</f>
        <v>294441.28000000003</v>
      </c>
      <c r="H168" s="41">
        <f>H146+H161+SUM(H162:H167)</f>
        <v>1293691.3900000001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13380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13380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25685.58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25685.58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149629.84</v>
      </c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175315.41999999998</v>
      </c>
      <c r="G191" s="41">
        <f>G182+SUM(G187:G190)</f>
        <v>13380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16109424.83</v>
      </c>
      <c r="G192" s="47">
        <f>G111+G139+G168+G191</f>
        <v>477768.08</v>
      </c>
      <c r="H192" s="47">
        <f>H111+H139+H168+H191</f>
        <v>1293691.3900000001</v>
      </c>
      <c r="I192" s="47">
        <f>I111+I139+I168+I191</f>
        <v>0</v>
      </c>
      <c r="J192" s="47">
        <f>J111+J139+J191</f>
        <v>19466.82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1750350</v>
      </c>
      <c r="G196" s="18">
        <v>897476</v>
      </c>
      <c r="H196" s="18">
        <v>7133</v>
      </c>
      <c r="I196" s="18">
        <v>58024</v>
      </c>
      <c r="J196" s="18">
        <v>777</v>
      </c>
      <c r="K196" s="18">
        <v>100</v>
      </c>
      <c r="L196" s="19">
        <f>SUM(F196:K196)</f>
        <v>2713860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689903</v>
      </c>
      <c r="G197" s="18">
        <v>200337</v>
      </c>
      <c r="H197" s="18">
        <v>342526</v>
      </c>
      <c r="I197" s="18">
        <v>1707</v>
      </c>
      <c r="J197" s="18">
        <v>7055</v>
      </c>
      <c r="K197" s="18">
        <v>4427</v>
      </c>
      <c r="L197" s="19">
        <f>SUM(F197:K197)</f>
        <v>1245955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28921</v>
      </c>
      <c r="G199" s="18">
        <v>3442</v>
      </c>
      <c r="H199" s="18">
        <v>588</v>
      </c>
      <c r="I199" s="18"/>
      <c r="J199" s="18"/>
      <c r="K199" s="18">
        <v>1668</v>
      </c>
      <c r="L199" s="19">
        <f>SUM(F199:K199)</f>
        <v>34619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487471</v>
      </c>
      <c r="G201" s="18">
        <v>236664</v>
      </c>
      <c r="H201" s="18">
        <v>94183</v>
      </c>
      <c r="I201" s="18">
        <v>10605</v>
      </c>
      <c r="J201" s="18"/>
      <c r="K201" s="18"/>
      <c r="L201" s="19">
        <f t="shared" ref="L201:L207" si="0">SUM(F201:K201)</f>
        <v>828923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150289</v>
      </c>
      <c r="G202" s="18">
        <v>87863</v>
      </c>
      <c r="H202" s="18">
        <v>69907</v>
      </c>
      <c r="I202" s="18">
        <v>37802</v>
      </c>
      <c r="J202" s="18">
        <v>46661</v>
      </c>
      <c r="K202" s="18">
        <v>1271</v>
      </c>
      <c r="L202" s="19">
        <f t="shared" si="0"/>
        <v>393793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5343</v>
      </c>
      <c r="G203" s="18">
        <v>440</v>
      </c>
      <c r="H203" s="18">
        <v>387829</v>
      </c>
      <c r="I203" s="18">
        <v>1245</v>
      </c>
      <c r="J203" s="18"/>
      <c r="K203" s="18">
        <v>6081</v>
      </c>
      <c r="L203" s="19">
        <f t="shared" si="0"/>
        <v>400938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228953</v>
      </c>
      <c r="G204" s="18">
        <v>75568</v>
      </c>
      <c r="H204" s="18">
        <v>16009</v>
      </c>
      <c r="I204" s="18">
        <v>2341</v>
      </c>
      <c r="J204" s="18"/>
      <c r="K204" s="18">
        <v>820</v>
      </c>
      <c r="L204" s="19">
        <f t="shared" si="0"/>
        <v>323691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100140</v>
      </c>
      <c r="G206" s="18">
        <v>94097</v>
      </c>
      <c r="H206" s="18">
        <v>248899</v>
      </c>
      <c r="I206" s="18"/>
      <c r="J206" s="18"/>
      <c r="K206" s="18"/>
      <c r="L206" s="19">
        <f t="shared" si="0"/>
        <v>443136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76031.05</v>
      </c>
      <c r="G207" s="18">
        <v>13480</v>
      </c>
      <c r="H207" s="18">
        <v>128683</v>
      </c>
      <c r="I207" s="18">
        <v>36509</v>
      </c>
      <c r="J207" s="18"/>
      <c r="K207" s="18"/>
      <c r="L207" s="19">
        <f t="shared" si="0"/>
        <v>254703.05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>
        <v>150095</v>
      </c>
      <c r="J208" s="18"/>
      <c r="K208" s="18"/>
      <c r="L208" s="19">
        <f>SUM(F208:K208)</f>
        <v>150095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3517401.05</v>
      </c>
      <c r="G210" s="41">
        <f t="shared" si="1"/>
        <v>1609367</v>
      </c>
      <c r="H210" s="41">
        <f t="shared" si="1"/>
        <v>1295757</v>
      </c>
      <c r="I210" s="41">
        <f t="shared" si="1"/>
        <v>298328</v>
      </c>
      <c r="J210" s="41">
        <f t="shared" si="1"/>
        <v>54493</v>
      </c>
      <c r="K210" s="41">
        <f t="shared" si="1"/>
        <v>14367</v>
      </c>
      <c r="L210" s="41">
        <f t="shared" si="1"/>
        <v>6789713.0499999998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667480</v>
      </c>
      <c r="G214" s="18">
        <v>341507</v>
      </c>
      <c r="H214" s="18"/>
      <c r="I214" s="18">
        <v>16863</v>
      </c>
      <c r="J214" s="18"/>
      <c r="K214" s="18">
        <v>706</v>
      </c>
      <c r="L214" s="19">
        <f>SUM(F214:K214)</f>
        <v>1026556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180726</v>
      </c>
      <c r="G215" s="18">
        <v>90415</v>
      </c>
      <c r="H215" s="18">
        <v>252507</v>
      </c>
      <c r="I215" s="18">
        <v>2133</v>
      </c>
      <c r="J215" s="18"/>
      <c r="K215" s="18"/>
      <c r="L215" s="19">
        <f>SUM(F215:K215)</f>
        <v>525781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21592</v>
      </c>
      <c r="G217" s="18">
        <v>2972</v>
      </c>
      <c r="H217" s="18"/>
      <c r="I217" s="18"/>
      <c r="J217" s="18"/>
      <c r="K217" s="18"/>
      <c r="L217" s="19">
        <f>SUM(F217:K217)</f>
        <v>24564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43698</v>
      </c>
      <c r="G219" s="18">
        <v>14931</v>
      </c>
      <c r="H219" s="18"/>
      <c r="I219" s="18"/>
      <c r="J219" s="18"/>
      <c r="K219" s="18"/>
      <c r="L219" s="19">
        <f t="shared" ref="L219:L225" si="2">SUM(F219:K219)</f>
        <v>58629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11250</v>
      </c>
      <c r="G220" s="18">
        <v>6275</v>
      </c>
      <c r="H220" s="18"/>
      <c r="I220" s="18"/>
      <c r="J220" s="18"/>
      <c r="K220" s="18"/>
      <c r="L220" s="19">
        <f t="shared" si="2"/>
        <v>17525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1484</v>
      </c>
      <c r="G221" s="18">
        <v>122</v>
      </c>
      <c r="H221" s="18">
        <v>107730</v>
      </c>
      <c r="I221" s="18"/>
      <c r="J221" s="18"/>
      <c r="K221" s="18"/>
      <c r="L221" s="19">
        <f t="shared" si="2"/>
        <v>109336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28374</v>
      </c>
      <c r="G222" s="18">
        <v>4856</v>
      </c>
      <c r="H222" s="18"/>
      <c r="I222" s="18">
        <v>170396</v>
      </c>
      <c r="J222" s="18"/>
      <c r="K222" s="18"/>
      <c r="L222" s="19">
        <f t="shared" si="2"/>
        <v>203626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22261</v>
      </c>
      <c r="G225" s="18">
        <v>3907</v>
      </c>
      <c r="H225" s="18">
        <v>46291</v>
      </c>
      <c r="I225" s="18">
        <v>10141</v>
      </c>
      <c r="J225" s="18"/>
      <c r="K225" s="18">
        <v>118.2</v>
      </c>
      <c r="L225" s="19">
        <f t="shared" si="2"/>
        <v>82718.2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976865</v>
      </c>
      <c r="G228" s="41">
        <f>SUM(G214:G227)</f>
        <v>464985</v>
      </c>
      <c r="H228" s="41">
        <f>SUM(H214:H227)</f>
        <v>406528</v>
      </c>
      <c r="I228" s="41">
        <f>SUM(I214:I227)</f>
        <v>199533</v>
      </c>
      <c r="J228" s="41">
        <f>SUM(J214:J227)</f>
        <v>0</v>
      </c>
      <c r="K228" s="41">
        <f t="shared" si="3"/>
        <v>824.2</v>
      </c>
      <c r="L228" s="41">
        <f t="shared" si="3"/>
        <v>2048735.2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1167295</v>
      </c>
      <c r="G232" s="18">
        <v>604935</v>
      </c>
      <c r="H232" s="18">
        <v>16857</v>
      </c>
      <c r="I232" s="18">
        <v>63067</v>
      </c>
      <c r="J232" s="18">
        <v>4250</v>
      </c>
      <c r="K232" s="18">
        <v>2983</v>
      </c>
      <c r="L232" s="19">
        <f>SUM(F232:K232)</f>
        <v>1859387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228446</v>
      </c>
      <c r="G233" s="18">
        <v>113320</v>
      </c>
      <c r="H233" s="18">
        <v>579725</v>
      </c>
      <c r="I233" s="18">
        <v>1863</v>
      </c>
      <c r="J233" s="18">
        <v>967</v>
      </c>
      <c r="K233" s="18"/>
      <c r="L233" s="19">
        <f>SUM(F233:K233)</f>
        <v>924321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445554</v>
      </c>
      <c r="G234" s="18">
        <v>190722</v>
      </c>
      <c r="H234" s="18">
        <v>3955</v>
      </c>
      <c r="I234" s="18">
        <v>45433</v>
      </c>
      <c r="J234" s="18">
        <v>23877</v>
      </c>
      <c r="K234" s="18"/>
      <c r="L234" s="19">
        <f>SUM(F234:K234)</f>
        <v>709541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143482</v>
      </c>
      <c r="G235" s="18">
        <v>34934</v>
      </c>
      <c r="H235" s="18">
        <v>38787</v>
      </c>
      <c r="I235" s="18">
        <v>24259</v>
      </c>
      <c r="J235" s="18">
        <v>10425</v>
      </c>
      <c r="K235" s="18">
        <v>8928</v>
      </c>
      <c r="L235" s="19">
        <f>SUM(F235:K235)</f>
        <v>260815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308375</v>
      </c>
      <c r="G237" s="18">
        <v>145234</v>
      </c>
      <c r="H237" s="18">
        <v>22676</v>
      </c>
      <c r="I237" s="18">
        <v>2537</v>
      </c>
      <c r="J237" s="18"/>
      <c r="K237" s="18">
        <v>195</v>
      </c>
      <c r="L237" s="19">
        <f t="shared" ref="L237:L243" si="4">SUM(F237:K237)</f>
        <v>479017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106785</v>
      </c>
      <c r="G238" s="18">
        <v>57511</v>
      </c>
      <c r="H238" s="18">
        <v>84807</v>
      </c>
      <c r="I238" s="18">
        <v>61274</v>
      </c>
      <c r="J238" s="18">
        <v>27511</v>
      </c>
      <c r="K238" s="18">
        <v>6440</v>
      </c>
      <c r="L238" s="19">
        <f t="shared" si="4"/>
        <v>344328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3067</v>
      </c>
      <c r="G239" s="18">
        <v>253</v>
      </c>
      <c r="H239" s="18">
        <v>222642</v>
      </c>
      <c r="I239" s="18">
        <v>715</v>
      </c>
      <c r="J239" s="18"/>
      <c r="K239" s="18">
        <v>3491</v>
      </c>
      <c r="L239" s="19">
        <f t="shared" si="4"/>
        <v>230168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374303</v>
      </c>
      <c r="G240" s="18">
        <v>160829</v>
      </c>
      <c r="H240" s="18">
        <v>41478</v>
      </c>
      <c r="I240" s="18">
        <v>14497</v>
      </c>
      <c r="J240" s="18">
        <v>4871</v>
      </c>
      <c r="K240" s="18">
        <v>2359</v>
      </c>
      <c r="L240" s="19">
        <f t="shared" si="4"/>
        <v>598337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182019</v>
      </c>
      <c r="G242" s="18">
        <v>72119</v>
      </c>
      <c r="H242" s="18">
        <v>143567</v>
      </c>
      <c r="I242" s="18">
        <v>260896</v>
      </c>
      <c r="J242" s="18">
        <v>331</v>
      </c>
      <c r="K242" s="18"/>
      <c r="L242" s="19">
        <f t="shared" si="4"/>
        <v>658932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59038.67</v>
      </c>
      <c r="G243" s="18">
        <v>9769</v>
      </c>
      <c r="H243" s="18">
        <v>15760</v>
      </c>
      <c r="I243" s="18">
        <v>20959</v>
      </c>
      <c r="J243" s="18"/>
      <c r="K243" s="18">
        <v>246</v>
      </c>
      <c r="L243" s="19">
        <f t="shared" si="4"/>
        <v>105772.67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3018364.67</v>
      </c>
      <c r="G246" s="41">
        <f t="shared" si="5"/>
        <v>1389626</v>
      </c>
      <c r="H246" s="41">
        <f t="shared" si="5"/>
        <v>1170254</v>
      </c>
      <c r="I246" s="41">
        <f t="shared" si="5"/>
        <v>495500</v>
      </c>
      <c r="J246" s="41">
        <f t="shared" si="5"/>
        <v>72232</v>
      </c>
      <c r="K246" s="41">
        <f t="shared" si="5"/>
        <v>24642</v>
      </c>
      <c r="L246" s="41">
        <f t="shared" si="5"/>
        <v>6170618.6699999999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7512630.7199999997</v>
      </c>
      <c r="G256" s="41">
        <f t="shared" si="8"/>
        <v>3463978</v>
      </c>
      <c r="H256" s="41">
        <f t="shared" si="8"/>
        <v>2872539</v>
      </c>
      <c r="I256" s="41">
        <f t="shared" si="8"/>
        <v>993361</v>
      </c>
      <c r="J256" s="41">
        <f t="shared" si="8"/>
        <v>126725</v>
      </c>
      <c r="K256" s="41">
        <f t="shared" si="8"/>
        <v>39833.199999999997</v>
      </c>
      <c r="L256" s="41">
        <f t="shared" si="8"/>
        <v>15009066.92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560000</v>
      </c>
      <c r="L259" s="19">
        <f>SUM(F259:K259)</f>
        <v>560000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374587</v>
      </c>
      <c r="L260" s="19">
        <f>SUM(F260:K260)</f>
        <v>374587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13380</v>
      </c>
      <c r="L262" s="19">
        <f>SUM(F262:K262)</f>
        <v>13380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947967</v>
      </c>
      <c r="L269" s="41">
        <f t="shared" si="9"/>
        <v>947967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7512630.7199999997</v>
      </c>
      <c r="G270" s="42">
        <f t="shared" si="11"/>
        <v>3463978</v>
      </c>
      <c r="H270" s="42">
        <f t="shared" si="11"/>
        <v>2872539</v>
      </c>
      <c r="I270" s="42">
        <f t="shared" si="11"/>
        <v>993361</v>
      </c>
      <c r="J270" s="42">
        <f t="shared" si="11"/>
        <v>126725</v>
      </c>
      <c r="K270" s="42">
        <f t="shared" si="11"/>
        <v>987800.2</v>
      </c>
      <c r="L270" s="42">
        <f t="shared" si="11"/>
        <v>15957033.92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439890.39</v>
      </c>
      <c r="G275" s="18">
        <v>154531</v>
      </c>
      <c r="H275" s="18">
        <v>217408</v>
      </c>
      <c r="I275" s="18">
        <v>6029</v>
      </c>
      <c r="J275" s="18"/>
      <c r="K275" s="18">
        <v>17869</v>
      </c>
      <c r="L275" s="19">
        <f>SUM(F275:K275)</f>
        <v>835727.39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183645</v>
      </c>
      <c r="G276" s="18">
        <v>68191</v>
      </c>
      <c r="H276" s="18">
        <v>31994</v>
      </c>
      <c r="I276" s="18">
        <v>10092</v>
      </c>
      <c r="J276" s="18">
        <v>6800</v>
      </c>
      <c r="K276" s="18">
        <v>9028</v>
      </c>
      <c r="L276" s="19">
        <f>SUM(F276:K276)</f>
        <v>309750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41103</v>
      </c>
      <c r="G281" s="18">
        <v>14456</v>
      </c>
      <c r="H281" s="18">
        <v>12578</v>
      </c>
      <c r="I281" s="18">
        <v>1129</v>
      </c>
      <c r="J281" s="18"/>
      <c r="K281" s="18">
        <v>1909</v>
      </c>
      <c r="L281" s="19">
        <f t="shared" si="12"/>
        <v>71175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664638.39</v>
      </c>
      <c r="G289" s="42">
        <f t="shared" si="13"/>
        <v>237178</v>
      </c>
      <c r="H289" s="42">
        <f t="shared" si="13"/>
        <v>261980</v>
      </c>
      <c r="I289" s="42">
        <f t="shared" si="13"/>
        <v>17250</v>
      </c>
      <c r="J289" s="42">
        <f t="shared" si="13"/>
        <v>6800</v>
      </c>
      <c r="K289" s="42">
        <f t="shared" si="13"/>
        <v>28806</v>
      </c>
      <c r="L289" s="41">
        <f t="shared" si="13"/>
        <v>1216652.3900000001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11400</v>
      </c>
      <c r="G300" s="18">
        <v>4016</v>
      </c>
      <c r="H300" s="18">
        <v>4050</v>
      </c>
      <c r="I300" s="18"/>
      <c r="J300" s="18"/>
      <c r="K300" s="18">
        <v>530</v>
      </c>
      <c r="L300" s="19">
        <f t="shared" si="14"/>
        <v>19996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11400</v>
      </c>
      <c r="G308" s="42">
        <f t="shared" si="15"/>
        <v>4016</v>
      </c>
      <c r="H308" s="42">
        <f t="shared" si="15"/>
        <v>4050</v>
      </c>
      <c r="I308" s="42">
        <f t="shared" si="15"/>
        <v>0</v>
      </c>
      <c r="J308" s="42">
        <f t="shared" si="15"/>
        <v>0</v>
      </c>
      <c r="K308" s="42">
        <f t="shared" si="15"/>
        <v>530</v>
      </c>
      <c r="L308" s="41">
        <f t="shared" si="15"/>
        <v>19996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>
        <v>783</v>
      </c>
      <c r="L313" s="19">
        <f>SUM(F313:K313)</f>
        <v>783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4250</v>
      </c>
      <c r="G315" s="18">
        <v>410</v>
      </c>
      <c r="H315" s="18">
        <v>12608</v>
      </c>
      <c r="I315" s="18">
        <v>1693</v>
      </c>
      <c r="J315" s="18">
        <v>15085</v>
      </c>
      <c r="K315" s="18">
        <v>1446</v>
      </c>
      <c r="L315" s="19">
        <f>SUM(F315:K315)</f>
        <v>35492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2356</v>
      </c>
      <c r="G319" s="18">
        <v>8299</v>
      </c>
      <c r="H319" s="18">
        <v>8369</v>
      </c>
      <c r="I319" s="18">
        <v>648</v>
      </c>
      <c r="J319" s="18"/>
      <c r="K319" s="18">
        <v>1096</v>
      </c>
      <c r="L319" s="19">
        <f t="shared" si="16"/>
        <v>20768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6606</v>
      </c>
      <c r="G327" s="42">
        <f t="shared" si="17"/>
        <v>8709</v>
      </c>
      <c r="H327" s="42">
        <f t="shared" si="17"/>
        <v>20977</v>
      </c>
      <c r="I327" s="42">
        <f t="shared" si="17"/>
        <v>2341</v>
      </c>
      <c r="J327" s="42">
        <f t="shared" si="17"/>
        <v>15085</v>
      </c>
      <c r="K327" s="42">
        <f t="shared" si="17"/>
        <v>3325</v>
      </c>
      <c r="L327" s="41">
        <f t="shared" si="17"/>
        <v>57043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682644.39</v>
      </c>
      <c r="G337" s="41">
        <f t="shared" si="20"/>
        <v>249903</v>
      </c>
      <c r="H337" s="41">
        <f t="shared" si="20"/>
        <v>287007</v>
      </c>
      <c r="I337" s="41">
        <f t="shared" si="20"/>
        <v>19591</v>
      </c>
      <c r="J337" s="41">
        <f t="shared" si="20"/>
        <v>21885</v>
      </c>
      <c r="K337" s="41">
        <f t="shared" si="20"/>
        <v>32661</v>
      </c>
      <c r="L337" s="41">
        <f t="shared" si="20"/>
        <v>1293691.3900000001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682644.39</v>
      </c>
      <c r="G351" s="41">
        <f>G337</f>
        <v>249903</v>
      </c>
      <c r="H351" s="41">
        <f>H337</f>
        <v>287007</v>
      </c>
      <c r="I351" s="41">
        <f>I337</f>
        <v>19591</v>
      </c>
      <c r="J351" s="41">
        <f>J337</f>
        <v>21885</v>
      </c>
      <c r="K351" s="47">
        <f>K337+K350</f>
        <v>32661</v>
      </c>
      <c r="L351" s="41">
        <f>L337+L350</f>
        <v>1293691.3900000001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243256</v>
      </c>
      <c r="I357" s="18"/>
      <c r="J357" s="18">
        <v>13380.28</v>
      </c>
      <c r="K357" s="18"/>
      <c r="L357" s="13">
        <f>SUM(F357:K357)</f>
        <v>256636.28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67586</v>
      </c>
      <c r="I358" s="18"/>
      <c r="J358" s="18"/>
      <c r="K358" s="18"/>
      <c r="L358" s="19">
        <f>SUM(F358:K358)</f>
        <v>67586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139678</v>
      </c>
      <c r="I359" s="18"/>
      <c r="J359" s="18"/>
      <c r="K359" s="18"/>
      <c r="L359" s="19">
        <f>SUM(F359:K359)</f>
        <v>139678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450520</v>
      </c>
      <c r="I361" s="47">
        <f t="shared" si="22"/>
        <v>0</v>
      </c>
      <c r="J361" s="47">
        <f t="shared" si="22"/>
        <v>13380.28</v>
      </c>
      <c r="K361" s="47">
        <f t="shared" si="22"/>
        <v>0</v>
      </c>
      <c r="L361" s="47">
        <f t="shared" si="22"/>
        <v>463900.28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5620.11</v>
      </c>
      <c r="I388" s="18"/>
      <c r="J388" s="24" t="s">
        <v>289</v>
      </c>
      <c r="K388" s="24" t="s">
        <v>289</v>
      </c>
      <c r="L388" s="56">
        <f t="shared" si="25"/>
        <v>5620.11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>
        <v>3408.6</v>
      </c>
      <c r="I389" s="18"/>
      <c r="J389" s="24" t="s">
        <v>289</v>
      </c>
      <c r="K389" s="24" t="s">
        <v>289</v>
      </c>
      <c r="L389" s="56">
        <f t="shared" si="25"/>
        <v>3408.6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9028.7099999999991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9028.7099999999991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10438.11</v>
      </c>
      <c r="I396" s="18"/>
      <c r="J396" s="24" t="s">
        <v>289</v>
      </c>
      <c r="K396" s="24" t="s">
        <v>289</v>
      </c>
      <c r="L396" s="56">
        <f t="shared" si="26"/>
        <v>10438.11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10438.11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10438.11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19466.82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19466.82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25685.58</v>
      </c>
      <c r="L414" s="56">
        <f t="shared" si="27"/>
        <v>25685.58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25685.58</v>
      </c>
      <c r="L418" s="47">
        <f t="shared" si="28"/>
        <v>25685.58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25685.58</v>
      </c>
      <c r="L433" s="47">
        <f t="shared" si="32"/>
        <v>25685.58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974705.36</v>
      </c>
      <c r="G439" s="18"/>
      <c r="H439" s="18"/>
      <c r="I439" s="56">
        <f t="shared" si="33"/>
        <v>974705.36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974705.36</v>
      </c>
      <c r="G445" s="13">
        <f>SUM(G438:G444)</f>
        <v>0</v>
      </c>
      <c r="H445" s="13">
        <f>SUM(H438:H444)</f>
        <v>0</v>
      </c>
      <c r="I445" s="13">
        <f>SUM(I438:I444)</f>
        <v>974705.36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974705.36</v>
      </c>
      <c r="G458" s="18"/>
      <c r="H458" s="18"/>
      <c r="I458" s="56">
        <f t="shared" si="34"/>
        <v>974705.36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974705.36</v>
      </c>
      <c r="G459" s="83">
        <f>SUM(G453:G458)</f>
        <v>0</v>
      </c>
      <c r="H459" s="83">
        <f>SUM(H453:H458)</f>
        <v>0</v>
      </c>
      <c r="I459" s="83">
        <f>SUM(I453:I458)</f>
        <v>974705.36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974705.36</v>
      </c>
      <c r="G460" s="42">
        <f>G451+G459</f>
        <v>0</v>
      </c>
      <c r="H460" s="42">
        <f>H451+H459</f>
        <v>0</v>
      </c>
      <c r="I460" s="42">
        <f>I451+I459</f>
        <v>974705.36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736824.57</v>
      </c>
      <c r="G464" s="18">
        <v>-2152.3200000000002</v>
      </c>
      <c r="H464" s="18"/>
      <c r="I464" s="18"/>
      <c r="J464" s="18">
        <v>980924.12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16109424.83</v>
      </c>
      <c r="G467" s="18">
        <v>477768.08</v>
      </c>
      <c r="H467" s="18">
        <v>1293691.3899999999</v>
      </c>
      <c r="I467" s="18"/>
      <c r="J467" s="18">
        <v>19466.82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16109424.83</v>
      </c>
      <c r="G469" s="53">
        <f>SUM(G467:G468)</f>
        <v>477768.08</v>
      </c>
      <c r="H469" s="53">
        <f>SUM(H467:H468)</f>
        <v>1293691.3899999999</v>
      </c>
      <c r="I469" s="53">
        <f>SUM(I467:I468)</f>
        <v>0</v>
      </c>
      <c r="J469" s="53">
        <f>SUM(J467:J468)</f>
        <v>19466.82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15957033.92</v>
      </c>
      <c r="G471" s="18">
        <v>463900.28</v>
      </c>
      <c r="H471" s="18">
        <v>1293691.3899999999</v>
      </c>
      <c r="I471" s="18"/>
      <c r="J471" s="18">
        <v>25685.58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0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15957033.92</v>
      </c>
      <c r="G473" s="53">
        <f>SUM(G471:G472)</f>
        <v>463900.28</v>
      </c>
      <c r="H473" s="53">
        <f>SUM(H471:H472)</f>
        <v>1293691.3899999999</v>
      </c>
      <c r="I473" s="53">
        <f>SUM(I471:I472)</f>
        <v>0</v>
      </c>
      <c r="J473" s="53">
        <f>SUM(J471:J472)</f>
        <v>25685.58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889215.47999999858</v>
      </c>
      <c r="G475" s="53">
        <f>(G464+G469)- G473</f>
        <v>11715.479999999981</v>
      </c>
      <c r="H475" s="53">
        <f>(H464+H469)- H473</f>
        <v>0</v>
      </c>
      <c r="I475" s="53">
        <f>(I464+I469)- I473</f>
        <v>0</v>
      </c>
      <c r="J475" s="53">
        <f>(J464+J469)- J473</f>
        <v>974705.36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10156000</v>
      </c>
      <c r="G492" s="18">
        <v>546800</v>
      </c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4.57</v>
      </c>
      <c r="G493" s="18">
        <v>3.8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8120000</v>
      </c>
      <c r="G494" s="18">
        <v>50000</v>
      </c>
      <c r="H494" s="18"/>
      <c r="I494" s="18"/>
      <c r="J494" s="18"/>
      <c r="K494" s="53">
        <f>SUM(F494:J494)</f>
        <v>8170000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510000</v>
      </c>
      <c r="G496" s="18">
        <v>50000</v>
      </c>
      <c r="H496" s="18"/>
      <c r="I496" s="18"/>
      <c r="J496" s="18"/>
      <c r="K496" s="53">
        <f t="shared" si="35"/>
        <v>560000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7610000</v>
      </c>
      <c r="G497" s="204">
        <v>0</v>
      </c>
      <c r="H497" s="204"/>
      <c r="I497" s="204"/>
      <c r="J497" s="204"/>
      <c r="K497" s="205">
        <f t="shared" si="35"/>
        <v>7610000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181375</v>
      </c>
      <c r="G498" s="18">
        <v>0</v>
      </c>
      <c r="H498" s="18"/>
      <c r="I498" s="18"/>
      <c r="J498" s="18"/>
      <c r="K498" s="53">
        <f t="shared" si="35"/>
        <v>181375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7791375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7791375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510000</v>
      </c>
      <c r="G500" s="204">
        <v>0</v>
      </c>
      <c r="H500" s="204"/>
      <c r="I500" s="204"/>
      <c r="J500" s="204"/>
      <c r="K500" s="205">
        <f t="shared" si="35"/>
        <v>510000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351912</v>
      </c>
      <c r="G501" s="18">
        <v>0</v>
      </c>
      <c r="H501" s="18"/>
      <c r="I501" s="18"/>
      <c r="J501" s="18"/>
      <c r="K501" s="53">
        <f t="shared" si="35"/>
        <v>351912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861912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861912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0</v>
      </c>
      <c r="G506" s="144">
        <v>0</v>
      </c>
      <c r="H506" s="144">
        <v>0</v>
      </c>
      <c r="I506" s="144">
        <v>0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629486.15</v>
      </c>
      <c r="G520" s="18">
        <v>199492.69</v>
      </c>
      <c r="H520" s="18">
        <v>338151.57</v>
      </c>
      <c r="I520" s="18">
        <v>1707.14</v>
      </c>
      <c r="J520" s="18">
        <v>7055.19</v>
      </c>
      <c r="K520" s="18">
        <v>4427</v>
      </c>
      <c r="L520" s="88">
        <f>SUM(F520:K520)</f>
        <v>1180319.74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177833.05</v>
      </c>
      <c r="G521" s="18">
        <v>90180.58</v>
      </c>
      <c r="H521" s="18">
        <v>251291.69</v>
      </c>
      <c r="I521" s="18">
        <v>2133.31</v>
      </c>
      <c r="J521" s="18"/>
      <c r="K521" s="18"/>
      <c r="L521" s="88">
        <f>SUM(F521:K521)</f>
        <v>521438.63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222465.78</v>
      </c>
      <c r="G522" s="18">
        <v>112835.14</v>
      </c>
      <c r="H522" s="18">
        <v>577214.1</v>
      </c>
      <c r="I522" s="18">
        <v>1863.8</v>
      </c>
      <c r="J522" s="18">
        <v>966.8</v>
      </c>
      <c r="K522" s="18"/>
      <c r="L522" s="88">
        <f>SUM(F522:K522)</f>
        <v>915345.62000000011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1029784.98</v>
      </c>
      <c r="G523" s="108">
        <f t="shared" ref="G523:L523" si="36">SUM(G520:G522)</f>
        <v>402508.41000000003</v>
      </c>
      <c r="H523" s="108">
        <f t="shared" si="36"/>
        <v>1166657.3599999999</v>
      </c>
      <c r="I523" s="108">
        <f t="shared" si="36"/>
        <v>5704.25</v>
      </c>
      <c r="J523" s="108">
        <f t="shared" si="36"/>
        <v>8021.99</v>
      </c>
      <c r="K523" s="108">
        <f t="shared" si="36"/>
        <v>4427</v>
      </c>
      <c r="L523" s="89">
        <f t="shared" si="36"/>
        <v>2617103.9900000002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256884.61</v>
      </c>
      <c r="G525" s="18">
        <v>172068.34</v>
      </c>
      <c r="H525" s="18">
        <v>89427.03</v>
      </c>
      <c r="I525" s="18">
        <v>5743.32</v>
      </c>
      <c r="J525" s="18"/>
      <c r="K525" s="18"/>
      <c r="L525" s="88">
        <f>SUM(F525:K525)</f>
        <v>524123.3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>
        <v>1683.95</v>
      </c>
      <c r="J526" s="18"/>
      <c r="K526" s="18"/>
      <c r="L526" s="88">
        <f>SUM(F526:K526)</f>
        <v>1683.95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133884.68</v>
      </c>
      <c r="G527" s="18">
        <v>36032.68</v>
      </c>
      <c r="H527" s="18">
        <v>8664.2099999999991</v>
      </c>
      <c r="I527" s="18">
        <v>2104.7600000000002</v>
      </c>
      <c r="J527" s="18"/>
      <c r="K527" s="18"/>
      <c r="L527" s="88">
        <f>SUM(F527:K527)</f>
        <v>180686.33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390769.29</v>
      </c>
      <c r="G528" s="89">
        <f t="shared" ref="G528:L528" si="37">SUM(G525:G527)</f>
        <v>208101.02</v>
      </c>
      <c r="H528" s="89">
        <f t="shared" si="37"/>
        <v>98091.239999999991</v>
      </c>
      <c r="I528" s="89">
        <f t="shared" si="37"/>
        <v>9532.0299999999988</v>
      </c>
      <c r="J528" s="89">
        <f t="shared" si="37"/>
        <v>0</v>
      </c>
      <c r="K528" s="89">
        <f t="shared" si="37"/>
        <v>0</v>
      </c>
      <c r="L528" s="89">
        <f t="shared" si="37"/>
        <v>706493.58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34020</v>
      </c>
      <c r="G530" s="18"/>
      <c r="H530" s="18"/>
      <c r="I530" s="18"/>
      <c r="J530" s="18"/>
      <c r="K530" s="18"/>
      <c r="L530" s="88">
        <f>SUM(F530:K530)</f>
        <v>34020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9450</v>
      </c>
      <c r="G531" s="18"/>
      <c r="H531" s="18"/>
      <c r="I531" s="18"/>
      <c r="J531" s="18"/>
      <c r="K531" s="18"/>
      <c r="L531" s="88">
        <f>SUM(F531:K531)</f>
        <v>9450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19530</v>
      </c>
      <c r="G532" s="18"/>
      <c r="H532" s="18"/>
      <c r="I532" s="18"/>
      <c r="J532" s="18"/>
      <c r="K532" s="18"/>
      <c r="L532" s="88">
        <f>SUM(F532:K532)</f>
        <v>19530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63000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63000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9923.7800000000007</v>
      </c>
      <c r="G540" s="18">
        <v>4696.97</v>
      </c>
      <c r="H540" s="18">
        <v>108485.66</v>
      </c>
      <c r="I540" s="18">
        <v>10692.22</v>
      </c>
      <c r="J540" s="18"/>
      <c r="K540" s="18"/>
      <c r="L540" s="88">
        <f>SUM(F540:K540)</f>
        <v>133798.63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2756.61</v>
      </c>
      <c r="G541" s="18">
        <v>1332.49</v>
      </c>
      <c r="H541" s="18">
        <v>40746.46</v>
      </c>
      <c r="I541" s="18">
        <v>2970.06</v>
      </c>
      <c r="J541" s="18"/>
      <c r="K541" s="18"/>
      <c r="L541" s="88">
        <f>SUM(F541:K541)</f>
        <v>47805.619999999995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5696.99</v>
      </c>
      <c r="G542" s="18">
        <v>2753.82</v>
      </c>
      <c r="H542" s="18">
        <v>4311.96</v>
      </c>
      <c r="I542" s="18">
        <v>6138.13</v>
      </c>
      <c r="J542" s="18"/>
      <c r="K542" s="18"/>
      <c r="L542" s="88">
        <f>SUM(F542:K542)</f>
        <v>18900.900000000001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18377.38</v>
      </c>
      <c r="G543" s="193">
        <f t="shared" ref="G543:L543" si="40">SUM(G540:G542)</f>
        <v>8783.2800000000007</v>
      </c>
      <c r="H543" s="193">
        <f t="shared" si="40"/>
        <v>153544.07999999999</v>
      </c>
      <c r="I543" s="193">
        <f t="shared" si="40"/>
        <v>19800.41</v>
      </c>
      <c r="J543" s="193">
        <f t="shared" si="40"/>
        <v>0</v>
      </c>
      <c r="K543" s="193">
        <f t="shared" si="40"/>
        <v>0</v>
      </c>
      <c r="L543" s="193">
        <f t="shared" si="40"/>
        <v>200505.15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1501931.65</v>
      </c>
      <c r="G544" s="89">
        <f t="shared" ref="G544:L544" si="41">G523+G528+G533+G538+G543</f>
        <v>619392.71000000008</v>
      </c>
      <c r="H544" s="89">
        <f t="shared" si="41"/>
        <v>1418292.68</v>
      </c>
      <c r="I544" s="89">
        <f t="shared" si="41"/>
        <v>35036.69</v>
      </c>
      <c r="J544" s="89">
        <f t="shared" si="41"/>
        <v>8021.99</v>
      </c>
      <c r="K544" s="89">
        <f t="shared" si="41"/>
        <v>4427</v>
      </c>
      <c r="L544" s="89">
        <f t="shared" si="41"/>
        <v>3587102.7200000002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1180319.74</v>
      </c>
      <c r="G548" s="87">
        <f>L525</f>
        <v>524123.3</v>
      </c>
      <c r="H548" s="87">
        <f>L530</f>
        <v>34020</v>
      </c>
      <c r="I548" s="87">
        <f>L535</f>
        <v>0</v>
      </c>
      <c r="J548" s="87">
        <f>L540</f>
        <v>133798.63</v>
      </c>
      <c r="K548" s="87">
        <f>SUM(F548:J548)</f>
        <v>1872261.67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521438.63</v>
      </c>
      <c r="G549" s="87">
        <f>L526</f>
        <v>1683.95</v>
      </c>
      <c r="H549" s="87">
        <f>L531</f>
        <v>9450</v>
      </c>
      <c r="I549" s="87">
        <f>L536</f>
        <v>0</v>
      </c>
      <c r="J549" s="87">
        <f>L541</f>
        <v>47805.619999999995</v>
      </c>
      <c r="K549" s="87">
        <f>SUM(F549:J549)</f>
        <v>580378.20000000007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915345.62000000011</v>
      </c>
      <c r="G550" s="87">
        <f>L527</f>
        <v>180686.33</v>
      </c>
      <c r="H550" s="87">
        <f>L532</f>
        <v>19530</v>
      </c>
      <c r="I550" s="87">
        <f>L537</f>
        <v>0</v>
      </c>
      <c r="J550" s="87">
        <f>L542</f>
        <v>18900.900000000001</v>
      </c>
      <c r="K550" s="87">
        <f>SUM(F550:J550)</f>
        <v>1134462.8500000001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2617103.9900000002</v>
      </c>
      <c r="G551" s="89">
        <f t="shared" si="42"/>
        <v>706493.58</v>
      </c>
      <c r="H551" s="89">
        <f t="shared" si="42"/>
        <v>63000</v>
      </c>
      <c r="I551" s="89">
        <f t="shared" si="42"/>
        <v>0</v>
      </c>
      <c r="J551" s="89">
        <f t="shared" si="42"/>
        <v>200505.15</v>
      </c>
      <c r="K551" s="89">
        <f t="shared" si="42"/>
        <v>3587102.7200000002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10416.6</v>
      </c>
      <c r="G561" s="18">
        <v>844.09</v>
      </c>
      <c r="H561" s="18"/>
      <c r="I561" s="18"/>
      <c r="J561" s="18"/>
      <c r="K561" s="18"/>
      <c r="L561" s="88">
        <f>SUM(F561:K561)</f>
        <v>11260.69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2893.5</v>
      </c>
      <c r="G562" s="18">
        <v>234.47</v>
      </c>
      <c r="H562" s="18"/>
      <c r="I562" s="18"/>
      <c r="J562" s="18"/>
      <c r="K562" s="18"/>
      <c r="L562" s="88">
        <f>SUM(F562:K562)</f>
        <v>3127.97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5979.9</v>
      </c>
      <c r="G563" s="18">
        <v>484.57</v>
      </c>
      <c r="H563" s="18"/>
      <c r="I563" s="18"/>
      <c r="J563" s="18"/>
      <c r="K563" s="18"/>
      <c r="L563" s="88">
        <f>SUM(F563:K563)</f>
        <v>6464.4699999999993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19290</v>
      </c>
      <c r="G564" s="89">
        <f t="shared" si="44"/>
        <v>1563.1299999999999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20853.129999999997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>
        <v>4374</v>
      </c>
      <c r="I566" s="18"/>
      <c r="J566" s="18"/>
      <c r="K566" s="18"/>
      <c r="L566" s="88">
        <f>SUM(F566:K566)</f>
        <v>4374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>
        <v>1215</v>
      </c>
      <c r="I567" s="18"/>
      <c r="J567" s="18"/>
      <c r="K567" s="18"/>
      <c r="L567" s="88">
        <f>SUM(F567:K567)</f>
        <v>1215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>
        <v>2511</v>
      </c>
      <c r="I568" s="18"/>
      <c r="J568" s="18"/>
      <c r="K568" s="18"/>
      <c r="L568" s="88">
        <f>SUM(F568:K568)</f>
        <v>2511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8100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8100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19290</v>
      </c>
      <c r="G570" s="89">
        <f t="shared" ref="G570:L570" si="46">G559+G564+G569</f>
        <v>1563.1299999999999</v>
      </c>
      <c r="H570" s="89">
        <f t="shared" si="46"/>
        <v>8100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28953.129999999997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16591.09</v>
      </c>
      <c r="G574" s="18"/>
      <c r="H574" s="18"/>
      <c r="I574" s="87">
        <f>SUM(F574:H574)</f>
        <v>16591.09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309571.34999999998</v>
      </c>
      <c r="G581" s="18">
        <v>251291.69</v>
      </c>
      <c r="H581" s="18">
        <v>570073.93999999994</v>
      </c>
      <c r="I581" s="87">
        <f t="shared" si="47"/>
        <v>1130936.98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116713.26</v>
      </c>
      <c r="I590" s="18">
        <v>32152.22</v>
      </c>
      <c r="J590" s="18">
        <v>66547.88</v>
      </c>
      <c r="K590" s="104">
        <f t="shared" ref="K590:K596" si="48">SUM(H590:J590)</f>
        <v>215413.36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133898.63</v>
      </c>
      <c r="I591" s="18">
        <v>47805.62</v>
      </c>
      <c r="J591" s="18">
        <v>18900.900000000001</v>
      </c>
      <c r="K591" s="104">
        <f t="shared" si="48"/>
        <v>200605.15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2434.3200000000002</v>
      </c>
      <c r="K592" s="104">
        <f t="shared" si="48"/>
        <v>2434.3200000000002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2296.89</v>
      </c>
      <c r="J593" s="18">
        <v>15690.1</v>
      </c>
      <c r="K593" s="104">
        <f t="shared" si="48"/>
        <v>17986.990000000002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4091.16</v>
      </c>
      <c r="I594" s="18">
        <v>463.47</v>
      </c>
      <c r="J594" s="18">
        <v>2199.4699999999998</v>
      </c>
      <c r="K594" s="104">
        <f t="shared" si="48"/>
        <v>6754.1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254703.05000000002</v>
      </c>
      <c r="I597" s="108">
        <f>SUM(I590:I596)</f>
        <v>82718.2</v>
      </c>
      <c r="J597" s="108">
        <f>SUM(J590:J596)</f>
        <v>105772.67000000001</v>
      </c>
      <c r="K597" s="108">
        <f>SUM(K590:K596)</f>
        <v>443193.92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80249.399999999994</v>
      </c>
      <c r="I603" s="18">
        <v>22291.5</v>
      </c>
      <c r="J603" s="18">
        <v>46069.1</v>
      </c>
      <c r="K603" s="104">
        <f>SUM(H603:J603)</f>
        <v>148610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80249.399999999994</v>
      </c>
      <c r="I604" s="108">
        <f>SUM(I601:I603)</f>
        <v>22291.5</v>
      </c>
      <c r="J604" s="108">
        <f>SUM(J601:J603)</f>
        <v>46069.1</v>
      </c>
      <c r="K604" s="108">
        <f>SUM(K601:K603)</f>
        <v>148610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10623.38</v>
      </c>
      <c r="G610" s="18">
        <v>1828.13</v>
      </c>
      <c r="H610" s="18"/>
      <c r="I610" s="18">
        <v>560.58000000000004</v>
      </c>
      <c r="J610" s="18"/>
      <c r="K610" s="18"/>
      <c r="L610" s="88">
        <f>SUM(F610:K610)</f>
        <v>13012.089999999998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6148.88</v>
      </c>
      <c r="G611" s="18">
        <v>957.33</v>
      </c>
      <c r="H611" s="18"/>
      <c r="I611" s="18"/>
      <c r="J611" s="18"/>
      <c r="K611" s="18"/>
      <c r="L611" s="88">
        <f>SUM(F611:K611)</f>
        <v>7106.21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14649</v>
      </c>
      <c r="G612" s="18">
        <v>2840.08</v>
      </c>
      <c r="H612" s="18"/>
      <c r="I612" s="18"/>
      <c r="J612" s="18"/>
      <c r="K612" s="18"/>
      <c r="L612" s="88">
        <f>SUM(F612:K612)</f>
        <v>17489.080000000002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31421.26</v>
      </c>
      <c r="G613" s="108">
        <f t="shared" si="49"/>
        <v>5625.54</v>
      </c>
      <c r="H613" s="108">
        <f t="shared" si="49"/>
        <v>0</v>
      </c>
      <c r="I613" s="108">
        <f t="shared" si="49"/>
        <v>560.58000000000004</v>
      </c>
      <c r="J613" s="108">
        <f t="shared" si="49"/>
        <v>0</v>
      </c>
      <c r="K613" s="108">
        <f t="shared" si="49"/>
        <v>0</v>
      </c>
      <c r="L613" s="89">
        <f t="shared" si="49"/>
        <v>37607.380000000005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977100.76000000013</v>
      </c>
      <c r="H616" s="109">
        <f>SUM(F51)</f>
        <v>977100.76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22044.45</v>
      </c>
      <c r="H617" s="109">
        <f>SUM(G51)</f>
        <v>22044.449999999997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27697.320000000007</v>
      </c>
      <c r="H618" s="109">
        <f>SUM(H51)</f>
        <v>27697.32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974705.36</v>
      </c>
      <c r="H620" s="109">
        <f>SUM(J51)</f>
        <v>974705.36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889215.48</v>
      </c>
      <c r="H621" s="109">
        <f>F475</f>
        <v>889215.47999999858</v>
      </c>
      <c r="I621" s="121" t="s">
        <v>101</v>
      </c>
      <c r="J621" s="109">
        <f t="shared" ref="J621:J654" si="50">G621-H621</f>
        <v>1.3969838619232178E-9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11715.48</v>
      </c>
      <c r="H622" s="109">
        <f>G475</f>
        <v>11715.479999999981</v>
      </c>
      <c r="I622" s="121" t="s">
        <v>102</v>
      </c>
      <c r="J622" s="109">
        <f t="shared" si="50"/>
        <v>1.8189894035458565E-11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974705.36</v>
      </c>
      <c r="H625" s="109">
        <f>J475</f>
        <v>974705.36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16109424.83</v>
      </c>
      <c r="H626" s="104">
        <f>SUM(F467)</f>
        <v>16109424.83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477768.08</v>
      </c>
      <c r="H627" s="104">
        <f>SUM(G467)</f>
        <v>477768.08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1293691.3900000001</v>
      </c>
      <c r="H628" s="104">
        <f>SUM(H467)</f>
        <v>1293691.3899999999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19466.82</v>
      </c>
      <c r="H630" s="104">
        <f>SUM(J467)</f>
        <v>19466.82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15957033.92</v>
      </c>
      <c r="H631" s="104">
        <f>SUM(F471)</f>
        <v>15957033.92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1293691.3900000001</v>
      </c>
      <c r="H632" s="104">
        <f>SUM(H471)</f>
        <v>1293691.3899999999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463900.28</v>
      </c>
      <c r="H634" s="104">
        <f>SUM(G471)</f>
        <v>463900.28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19466.82</v>
      </c>
      <c r="H636" s="164">
        <f>SUM(J467)</f>
        <v>19466.82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25685.58</v>
      </c>
      <c r="H637" s="164">
        <f>SUM(J471)</f>
        <v>25685.58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974705.36</v>
      </c>
      <c r="H638" s="104">
        <f>SUM(F460)</f>
        <v>974705.36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974705.36</v>
      </c>
      <c r="H641" s="104">
        <f>SUM(I460)</f>
        <v>974705.36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19466.82</v>
      </c>
      <c r="H643" s="104">
        <f>H407</f>
        <v>19466.82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19466.82</v>
      </c>
      <c r="H645" s="104">
        <f>L407</f>
        <v>19466.82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443193.92</v>
      </c>
      <c r="H646" s="104">
        <f>L207+L225+L243</f>
        <v>443193.92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148610</v>
      </c>
      <c r="H647" s="104">
        <f>(J256+J337)-(J254+J335)</f>
        <v>148610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254703.05</v>
      </c>
      <c r="H648" s="104">
        <f>H597</f>
        <v>254703.05000000002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82718.2</v>
      </c>
      <c r="H649" s="104">
        <f>I597</f>
        <v>82718.2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105772.67</v>
      </c>
      <c r="H650" s="104">
        <f>J597</f>
        <v>105772.67000000001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13380</v>
      </c>
      <c r="H651" s="104">
        <f>K262+K344</f>
        <v>13380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8263001.7199999997</v>
      </c>
      <c r="G659" s="19">
        <f>(L228+L308+L358)</f>
        <v>2136317.2000000002</v>
      </c>
      <c r="H659" s="19">
        <f>(L246+L327+L359)</f>
        <v>6367339.6699999999</v>
      </c>
      <c r="I659" s="19">
        <f>SUM(F659:H659)</f>
        <v>16766658.59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83051.897925524841</v>
      </c>
      <c r="G660" s="19">
        <f>(L358/IF(SUM(L357:L359)=0,1,SUM(L357:L359))*(SUM(G96:G109)))</f>
        <v>21871.987753230067</v>
      </c>
      <c r="H660" s="19">
        <f>(L359/IF(SUM(L357:L359)=0,1,SUM(L357:L359))*(SUM(G96:G109)))</f>
        <v>45202.194321245071</v>
      </c>
      <c r="I660" s="19">
        <f>SUM(F660:H660)</f>
        <v>150126.07999999999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254703.05</v>
      </c>
      <c r="G661" s="19">
        <f>(L225+L305)-(J225+J305)</f>
        <v>82718.2</v>
      </c>
      <c r="H661" s="19">
        <f>(L243+L324)-(J243+J324)</f>
        <v>105772.67</v>
      </c>
      <c r="I661" s="19">
        <f>SUM(F661:H661)</f>
        <v>443193.92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419423.93</v>
      </c>
      <c r="G662" s="199">
        <f>SUM(G574:G586)+SUM(I601:I603)+L611</f>
        <v>280689.40000000002</v>
      </c>
      <c r="H662" s="199">
        <f>SUM(H574:H586)+SUM(J601:J603)+L612</f>
        <v>633632.11999999988</v>
      </c>
      <c r="I662" s="19">
        <f>SUM(F662:H662)</f>
        <v>1333745.45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7505822.8420744753</v>
      </c>
      <c r="G663" s="19">
        <f>G659-SUM(G660:G662)</f>
        <v>1751037.6122467699</v>
      </c>
      <c r="H663" s="19">
        <f>H659-SUM(H660:H662)</f>
        <v>5582732.6856787549</v>
      </c>
      <c r="I663" s="19">
        <f>I659-SUM(I660:I662)</f>
        <v>14839593.140000001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480.16</v>
      </c>
      <c r="G664" s="248">
        <v>152.86000000000001</v>
      </c>
      <c r="H664" s="248">
        <v>341.55</v>
      </c>
      <c r="I664" s="19">
        <f>SUM(F664:H664)</f>
        <v>974.56999999999994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15631.92</v>
      </c>
      <c r="G666" s="19">
        <f>ROUND(G663/G664,2)</f>
        <v>11455.17</v>
      </c>
      <c r="H666" s="19">
        <f>ROUND(H663/H664,2)</f>
        <v>16345.29</v>
      </c>
      <c r="I666" s="19">
        <f>ROUND(I663/I664,2)</f>
        <v>15226.81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5.62</v>
      </c>
      <c r="I669" s="19">
        <f>SUM(F669:H669)</f>
        <v>5.62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15631.92</v>
      </c>
      <c r="G671" s="19">
        <f>ROUND((G663+G668)/(G664+G669),2)</f>
        <v>11455.17</v>
      </c>
      <c r="H671" s="19">
        <f>ROUND((H663+H668)/(H664+H669),2)</f>
        <v>16080.69</v>
      </c>
      <c r="I671" s="19">
        <f>ROUND((I663+I668)/(I664+I669),2)</f>
        <v>15139.51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: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Newport 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4025015.39</v>
      </c>
      <c r="C9" s="229">
        <f>'DOE25'!G196+'DOE25'!G214+'DOE25'!G232+'DOE25'!G275+'DOE25'!G294+'DOE25'!G313</f>
        <v>1998449</v>
      </c>
    </row>
    <row r="10" spans="1:3" x14ac:dyDescent="0.2">
      <c r="A10" t="s">
        <v>779</v>
      </c>
      <c r="B10" s="240">
        <v>3756409.58</v>
      </c>
      <c r="C10" s="240">
        <v>1589015.42</v>
      </c>
    </row>
    <row r="11" spans="1:3" x14ac:dyDescent="0.2">
      <c r="A11" t="s">
        <v>780</v>
      </c>
      <c r="B11" s="240">
        <v>109393.63</v>
      </c>
      <c r="C11" s="240">
        <v>397253.85</v>
      </c>
    </row>
    <row r="12" spans="1:3" x14ac:dyDescent="0.2">
      <c r="A12" t="s">
        <v>781</v>
      </c>
      <c r="B12" s="240">
        <v>159212.18</v>
      </c>
      <c r="C12" s="240">
        <v>12179.73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4025015.39</v>
      </c>
      <c r="C13" s="231">
        <f>SUM(C10:C12)</f>
        <v>1998449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1282720</v>
      </c>
      <c r="C18" s="229">
        <f>'DOE25'!G197+'DOE25'!G215+'DOE25'!G233+'DOE25'!G276+'DOE25'!G295+'DOE25'!G314</f>
        <v>472263</v>
      </c>
    </row>
    <row r="19" spans="1:3" x14ac:dyDescent="0.2">
      <c r="A19" t="s">
        <v>779</v>
      </c>
      <c r="B19" s="240">
        <v>740768.45</v>
      </c>
      <c r="C19" s="240">
        <v>377810.4</v>
      </c>
    </row>
    <row r="20" spans="1:3" x14ac:dyDescent="0.2">
      <c r="A20" t="s">
        <v>780</v>
      </c>
      <c r="B20" s="240">
        <v>511569.01</v>
      </c>
      <c r="C20" s="240">
        <v>70839.45</v>
      </c>
    </row>
    <row r="21" spans="1:3" x14ac:dyDescent="0.2">
      <c r="A21" t="s">
        <v>781</v>
      </c>
      <c r="B21" s="240">
        <v>30382.54</v>
      </c>
      <c r="C21" s="240">
        <v>23613.15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1282720</v>
      </c>
      <c r="C22" s="231">
        <f>SUM(C19:C21)</f>
        <v>472263.00000000006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449804</v>
      </c>
      <c r="C27" s="234">
        <f>'DOE25'!G198+'DOE25'!G216+'DOE25'!G234+'DOE25'!G277+'DOE25'!G296+'DOE25'!G315</f>
        <v>191132</v>
      </c>
    </row>
    <row r="28" spans="1:3" x14ac:dyDescent="0.2">
      <c r="A28" t="s">
        <v>779</v>
      </c>
      <c r="B28" s="240">
        <v>449804</v>
      </c>
      <c r="C28" s="240">
        <v>191132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449804</v>
      </c>
      <c r="C31" s="231">
        <f>SUM(C28:C30)</f>
        <v>191132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193995</v>
      </c>
      <c r="C36" s="235">
        <f>'DOE25'!G199+'DOE25'!G217+'DOE25'!G235+'DOE25'!G278+'DOE25'!G297+'DOE25'!G316</f>
        <v>41348</v>
      </c>
    </row>
    <row r="37" spans="1:3" x14ac:dyDescent="0.2">
      <c r="A37" t="s">
        <v>779</v>
      </c>
      <c r="B37" s="240">
        <v>193995</v>
      </c>
      <c r="C37" s="240">
        <v>41348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193995</v>
      </c>
      <c r="C40" s="231">
        <f>SUM(C37:C39)</f>
        <v>41348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 xml:space="preserve">Newport 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9325399</v>
      </c>
      <c r="D5" s="20">
        <f>SUM('DOE25'!L196:L199)+SUM('DOE25'!L214:L217)+SUM('DOE25'!L232:L235)-F5-G5</f>
        <v>9259236</v>
      </c>
      <c r="E5" s="243"/>
      <c r="F5" s="255">
        <f>SUM('DOE25'!J196:J199)+SUM('DOE25'!J214:J217)+SUM('DOE25'!J232:J235)</f>
        <v>47351</v>
      </c>
      <c r="G5" s="53">
        <f>SUM('DOE25'!K196:K199)+SUM('DOE25'!K214:K217)+SUM('DOE25'!K232:K235)</f>
        <v>18812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1366569</v>
      </c>
      <c r="D6" s="20">
        <f>'DOE25'!L201+'DOE25'!L219+'DOE25'!L237-F6-G6</f>
        <v>1366374</v>
      </c>
      <c r="E6" s="243"/>
      <c r="F6" s="255">
        <f>'DOE25'!J201+'DOE25'!J219+'DOE25'!J237</f>
        <v>0</v>
      </c>
      <c r="G6" s="53">
        <f>'DOE25'!K201+'DOE25'!K219+'DOE25'!K237</f>
        <v>195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755646</v>
      </c>
      <c r="D7" s="20">
        <f>'DOE25'!L202+'DOE25'!L220+'DOE25'!L238-F7-G7</f>
        <v>673763</v>
      </c>
      <c r="E7" s="243"/>
      <c r="F7" s="255">
        <f>'DOE25'!J202+'DOE25'!J220+'DOE25'!J238</f>
        <v>74172</v>
      </c>
      <c r="G7" s="53">
        <f>'DOE25'!K202+'DOE25'!K220+'DOE25'!K238</f>
        <v>7711</v>
      </c>
      <c r="H7" s="259"/>
    </row>
    <row r="8" spans="1:9" x14ac:dyDescent="0.2">
      <c r="A8" s="32">
        <v>2300</v>
      </c>
      <c r="B8" t="s">
        <v>802</v>
      </c>
      <c r="C8" s="245">
        <f t="shared" si="0"/>
        <v>540973.93999999994</v>
      </c>
      <c r="D8" s="243"/>
      <c r="E8" s="20">
        <f>'DOE25'!L203+'DOE25'!L221+'DOE25'!L239-F8-G8-D9-D11</f>
        <v>531401.93999999994</v>
      </c>
      <c r="F8" s="255">
        <f>'DOE25'!J203+'DOE25'!J221+'DOE25'!J239</f>
        <v>0</v>
      </c>
      <c r="G8" s="53">
        <f>'DOE25'!K203+'DOE25'!K221+'DOE25'!K239</f>
        <v>9572</v>
      </c>
      <c r="H8" s="259"/>
    </row>
    <row r="9" spans="1:9" x14ac:dyDescent="0.2">
      <c r="A9" s="32">
        <v>2310</v>
      </c>
      <c r="B9" t="s">
        <v>818</v>
      </c>
      <c r="C9" s="245">
        <f t="shared" si="0"/>
        <v>62668.06</v>
      </c>
      <c r="D9" s="244">
        <v>62668.06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23500</v>
      </c>
      <c r="D10" s="243"/>
      <c r="E10" s="244">
        <v>23500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136800</v>
      </c>
      <c r="D11" s="244">
        <v>136800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1125654</v>
      </c>
      <c r="D12" s="20">
        <f>'DOE25'!L204+'DOE25'!L222+'DOE25'!L240-F12-G12</f>
        <v>1117604</v>
      </c>
      <c r="E12" s="243"/>
      <c r="F12" s="255">
        <f>'DOE25'!J204+'DOE25'!J222+'DOE25'!J240</f>
        <v>4871</v>
      </c>
      <c r="G12" s="53">
        <f>'DOE25'!K204+'DOE25'!K222+'DOE25'!K240</f>
        <v>3179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1102068</v>
      </c>
      <c r="D14" s="20">
        <f>'DOE25'!L206+'DOE25'!L224+'DOE25'!L242-F14-G14</f>
        <v>1101737</v>
      </c>
      <c r="E14" s="243"/>
      <c r="F14" s="255">
        <f>'DOE25'!J206+'DOE25'!J224+'DOE25'!J242</f>
        <v>331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443193.92</v>
      </c>
      <c r="D15" s="20">
        <f>'DOE25'!L207+'DOE25'!L225+'DOE25'!L243-F15-G15</f>
        <v>442829.72</v>
      </c>
      <c r="E15" s="243"/>
      <c r="F15" s="255">
        <f>'DOE25'!J207+'DOE25'!J225+'DOE25'!J243</f>
        <v>0</v>
      </c>
      <c r="G15" s="53">
        <f>'DOE25'!K207+'DOE25'!K225+'DOE25'!K243</f>
        <v>364.2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150095</v>
      </c>
      <c r="D16" s="243"/>
      <c r="E16" s="20">
        <f>'DOE25'!L208+'DOE25'!L226+'DOE25'!L244-F16-G16</f>
        <v>150095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934587</v>
      </c>
      <c r="D25" s="243"/>
      <c r="E25" s="243"/>
      <c r="F25" s="258"/>
      <c r="G25" s="256"/>
      <c r="H25" s="257">
        <f>'DOE25'!L259+'DOE25'!L260+'DOE25'!L340+'DOE25'!L341</f>
        <v>934587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463900.28</v>
      </c>
      <c r="D29" s="20">
        <f>'DOE25'!L357+'DOE25'!L358+'DOE25'!L359-'DOE25'!I366-F29-G29</f>
        <v>450520</v>
      </c>
      <c r="E29" s="243"/>
      <c r="F29" s="255">
        <f>'DOE25'!J357+'DOE25'!J358+'DOE25'!J359</f>
        <v>13380.28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1293691.3900000001</v>
      </c>
      <c r="D31" s="20">
        <f>'DOE25'!L289+'DOE25'!L308+'DOE25'!L327+'DOE25'!L332+'DOE25'!L333+'DOE25'!L334-F31-G31</f>
        <v>1239145.3900000001</v>
      </c>
      <c r="E31" s="243"/>
      <c r="F31" s="255">
        <f>'DOE25'!J289+'DOE25'!J308+'DOE25'!J327+'DOE25'!J332+'DOE25'!J333+'DOE25'!J334</f>
        <v>21885</v>
      </c>
      <c r="G31" s="53">
        <f>'DOE25'!K289+'DOE25'!K308+'DOE25'!K327+'DOE25'!K332+'DOE25'!K333+'DOE25'!K334</f>
        <v>32661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15850677.170000002</v>
      </c>
      <c r="E33" s="246">
        <f>SUM(E5:E31)</f>
        <v>704996.94</v>
      </c>
      <c r="F33" s="246">
        <f>SUM(F5:F31)</f>
        <v>161990.28</v>
      </c>
      <c r="G33" s="246">
        <f>SUM(G5:G31)</f>
        <v>72494.2</v>
      </c>
      <c r="H33" s="246">
        <f>SUM(H5:H31)</f>
        <v>934587</v>
      </c>
    </row>
    <row r="35" spans="2:8" ht="12" thickBot="1" x14ac:dyDescent="0.25">
      <c r="B35" s="253" t="s">
        <v>847</v>
      </c>
      <c r="D35" s="254">
        <f>E33</f>
        <v>704996.94</v>
      </c>
      <c r="E35" s="249"/>
    </row>
    <row r="36" spans="2:8" ht="12" thickTop="1" x14ac:dyDescent="0.2">
      <c r="B36" t="s">
        <v>815</v>
      </c>
      <c r="D36" s="20">
        <f>D33</f>
        <v>15850677.170000002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Newport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317677.46000000002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974705.36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258655.23</v>
      </c>
      <c r="D11" s="95">
        <f>'DOE25'!G12</f>
        <v>-59317.18</v>
      </c>
      <c r="E11" s="95">
        <f>'DOE25'!H12</f>
        <v>-200143.05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378785.18</v>
      </c>
      <c r="D12" s="95">
        <f>'DOE25'!G13</f>
        <v>12356.69</v>
      </c>
      <c r="E12" s="95">
        <f>'DOE25'!H13</f>
        <v>227840.37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7772.93</v>
      </c>
      <c r="D13" s="95">
        <f>'DOE25'!G14</f>
        <v>56615.5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11296.43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14209.96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1093.01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977100.76000000013</v>
      </c>
      <c r="D18" s="41">
        <f>SUM(D8:D17)</f>
        <v>22044.45</v>
      </c>
      <c r="E18" s="41">
        <f>SUM(E8:E17)</f>
        <v>27697.320000000007</v>
      </c>
      <c r="F18" s="41">
        <f>SUM(F8:F17)</f>
        <v>0</v>
      </c>
      <c r="G18" s="41">
        <f>SUM(G8:G17)</f>
        <v>974705.36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1763.83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85287.95</v>
      </c>
      <c r="D22" s="95">
        <f>'DOE25'!G23</f>
        <v>0</v>
      </c>
      <c r="E22" s="95">
        <f>'DOE25'!H23</f>
        <v>442.05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8708.8700000000008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833.5</v>
      </c>
      <c r="D28" s="95">
        <f>'DOE25'!G29</f>
        <v>0</v>
      </c>
      <c r="E28" s="95">
        <f>'DOE25'!H29</f>
        <v>8916.4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10328.969999999999</v>
      </c>
      <c r="E29" s="95">
        <f>'DOE25'!H30</f>
        <v>9630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87885.28</v>
      </c>
      <c r="D31" s="41">
        <f>SUM(D21:D30)</f>
        <v>10328.969999999999</v>
      </c>
      <c r="E31" s="41">
        <f>SUM(E21:E30)</f>
        <v>27697.32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11296.43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139771.43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175165.76</v>
      </c>
      <c r="D46" s="95">
        <f>'DOE25'!G47</f>
        <v>419.05</v>
      </c>
      <c r="E46" s="95">
        <f>'DOE25'!H47</f>
        <v>0</v>
      </c>
      <c r="F46" s="95">
        <f>'DOE25'!I47</f>
        <v>0</v>
      </c>
      <c r="G46" s="95">
        <f>'DOE25'!J47</f>
        <v>974705.36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574278.29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889215.48</v>
      </c>
      <c r="D49" s="41">
        <f>SUM(D34:D48)</f>
        <v>11715.48</v>
      </c>
      <c r="E49" s="41">
        <f>SUM(E34:E48)</f>
        <v>0</v>
      </c>
      <c r="F49" s="41">
        <f>SUM(F34:F48)</f>
        <v>0</v>
      </c>
      <c r="G49" s="41">
        <f>SUM(G34:G48)</f>
        <v>974705.36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977100.76</v>
      </c>
      <c r="D50" s="41">
        <f>D49+D31</f>
        <v>22044.449999999997</v>
      </c>
      <c r="E50" s="41">
        <f>E49+E31</f>
        <v>27697.32</v>
      </c>
      <c r="F50" s="41">
        <f>F49+F31</f>
        <v>0</v>
      </c>
      <c r="G50" s="41">
        <f>G49+G31</f>
        <v>974705.36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5300082</v>
      </c>
      <c r="D55" s="95">
        <f>'DOE25'!G59</f>
        <v>13380.28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1878361.31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498.45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1584.4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19466.82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136312.85999999999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12336.08</v>
      </c>
      <c r="D60" s="95">
        <f>SUM('DOE25'!G97:G109)</f>
        <v>13813.22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1892780.24</v>
      </c>
      <c r="D61" s="130">
        <f>SUM(D56:D60)</f>
        <v>150126.07999999999</v>
      </c>
      <c r="E61" s="130">
        <f>SUM(E56:E60)</f>
        <v>0</v>
      </c>
      <c r="F61" s="130">
        <f>SUM(F56:F60)</f>
        <v>0</v>
      </c>
      <c r="G61" s="130">
        <f>SUM(G56:G60)</f>
        <v>19466.82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7192862.2400000002</v>
      </c>
      <c r="D62" s="22">
        <f>D55+D61</f>
        <v>163506.35999999999</v>
      </c>
      <c r="E62" s="22">
        <f>E55+E61</f>
        <v>0</v>
      </c>
      <c r="F62" s="22">
        <f>F55+F61</f>
        <v>0</v>
      </c>
      <c r="G62" s="22">
        <f>G55+G61</f>
        <v>19466.82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6931339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1051082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7982421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334082.03000000003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250374.58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114602.2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6440.44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699058.80999999994</v>
      </c>
      <c r="D77" s="130">
        <f>SUM(D71:D76)</f>
        <v>6440.44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8681479.8100000005</v>
      </c>
      <c r="D80" s="130">
        <f>SUM(D78:D79)+D77+D69</f>
        <v>6440.44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9920.3700000000008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59767.360000000001</v>
      </c>
      <c r="D87" s="95">
        <f>SUM('DOE25'!G152:G160)</f>
        <v>294441.28000000003</v>
      </c>
      <c r="E87" s="95">
        <f>SUM('DOE25'!H152:H160)</f>
        <v>1199284.49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84486.53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59767.360000000001</v>
      </c>
      <c r="D90" s="131">
        <f>SUM(D84:D89)</f>
        <v>294441.28000000003</v>
      </c>
      <c r="E90" s="131">
        <f>SUM(E84:E89)</f>
        <v>1293691.3900000001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13380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25685.58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149629.84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175315.41999999998</v>
      </c>
      <c r="D102" s="86">
        <f>SUM(D92:D101)</f>
        <v>13380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16109424.83</v>
      </c>
      <c r="D103" s="86">
        <f>D62+D80+D90+D102</f>
        <v>477768.08</v>
      </c>
      <c r="E103" s="86">
        <f>E62+E80+E90+E102</f>
        <v>1293691.3900000001</v>
      </c>
      <c r="F103" s="86">
        <f>F62+F80+F90+F102</f>
        <v>0</v>
      </c>
      <c r="G103" s="86">
        <f>G62+G80+G102</f>
        <v>19466.82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5599803</v>
      </c>
      <c r="D108" s="24" t="s">
        <v>289</v>
      </c>
      <c r="E108" s="95">
        <f>('DOE25'!L275)+('DOE25'!L294)+('DOE25'!L313)</f>
        <v>836510.39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2696057</v>
      </c>
      <c r="D109" s="24" t="s">
        <v>289</v>
      </c>
      <c r="E109" s="95">
        <f>('DOE25'!L276)+('DOE25'!L295)+('DOE25'!L314)</f>
        <v>309750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709541</v>
      </c>
      <c r="D110" s="24" t="s">
        <v>289</v>
      </c>
      <c r="E110" s="95">
        <f>('DOE25'!L277)+('DOE25'!L296)+('DOE25'!L315)</f>
        <v>35492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319998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9325399</v>
      </c>
      <c r="D114" s="86">
        <f>SUM(D108:D113)</f>
        <v>0</v>
      </c>
      <c r="E114" s="86">
        <f>SUM(E108:E113)</f>
        <v>1181752.3900000001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1366569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755646</v>
      </c>
      <c r="D118" s="24" t="s">
        <v>289</v>
      </c>
      <c r="E118" s="95">
        <f>+('DOE25'!L281)+('DOE25'!L300)+('DOE25'!L319)</f>
        <v>111939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740442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1125654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1102068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443193.92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150095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463900.28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5683667.9199999999</v>
      </c>
      <c r="D127" s="86">
        <f>SUM(D117:D126)</f>
        <v>463900.28</v>
      </c>
      <c r="E127" s="86">
        <f>SUM(E117:E126)</f>
        <v>111939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560000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374587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25685.58</v>
      </c>
    </row>
    <row r="134" spans="1:7" x14ac:dyDescent="0.2">
      <c r="A134" t="s">
        <v>233</v>
      </c>
      <c r="B134" s="32" t="s">
        <v>234</v>
      </c>
      <c r="C134" s="95">
        <f>'DOE25'!L262</f>
        <v>13380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9028.7099999999991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10438.11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-19466.82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947967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25685.58</v>
      </c>
    </row>
    <row r="144" spans="1:7" ht="12.75" thickTop="1" thickBot="1" x14ac:dyDescent="0.25">
      <c r="A144" s="33" t="s">
        <v>244</v>
      </c>
      <c r="C144" s="86">
        <f>(C114+C127+C143)</f>
        <v>15957033.92</v>
      </c>
      <c r="D144" s="86">
        <f>(D114+D127+D143)</f>
        <v>463900.28</v>
      </c>
      <c r="E144" s="86">
        <f>(E114+E127+E143)</f>
        <v>1293691.3900000001</v>
      </c>
      <c r="F144" s="86">
        <f>(F114+F127+F143)</f>
        <v>0</v>
      </c>
      <c r="G144" s="86">
        <f>(G114+G127+G143)</f>
        <v>25685.58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10156000</v>
      </c>
      <c r="C153" s="137">
        <f>'DOE25'!G492</f>
        <v>546800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4.57</v>
      </c>
      <c r="C154" s="137">
        <f>'DOE25'!G493</f>
        <v>3.8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8120000</v>
      </c>
      <c r="C155" s="137">
        <f>'DOE25'!G494</f>
        <v>50000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8170000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510000</v>
      </c>
      <c r="C157" s="137">
        <f>'DOE25'!G496</f>
        <v>50000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560000</v>
      </c>
    </row>
    <row r="158" spans="1:9" x14ac:dyDescent="0.2">
      <c r="A158" s="22" t="s">
        <v>35</v>
      </c>
      <c r="B158" s="137">
        <f>'DOE25'!F497</f>
        <v>7610000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7610000</v>
      </c>
    </row>
    <row r="159" spans="1:9" x14ac:dyDescent="0.2">
      <c r="A159" s="22" t="s">
        <v>36</v>
      </c>
      <c r="B159" s="137">
        <f>'DOE25'!F498</f>
        <v>181375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181375</v>
      </c>
    </row>
    <row r="160" spans="1:9" x14ac:dyDescent="0.2">
      <c r="A160" s="22" t="s">
        <v>37</v>
      </c>
      <c r="B160" s="137">
        <f>'DOE25'!F499</f>
        <v>7791375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7791375</v>
      </c>
    </row>
    <row r="161" spans="1:7" x14ac:dyDescent="0.2">
      <c r="A161" s="22" t="s">
        <v>38</v>
      </c>
      <c r="B161" s="137">
        <f>'DOE25'!F500</f>
        <v>510000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510000</v>
      </c>
    </row>
    <row r="162" spans="1:7" x14ac:dyDescent="0.2">
      <c r="A162" s="22" t="s">
        <v>39</v>
      </c>
      <c r="B162" s="137">
        <f>'DOE25'!F501</f>
        <v>351912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351912</v>
      </c>
    </row>
    <row r="163" spans="1:7" x14ac:dyDescent="0.2">
      <c r="A163" s="22" t="s">
        <v>246</v>
      </c>
      <c r="B163" s="137">
        <f>'DOE25'!F502</f>
        <v>861912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861912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 xml:space="preserve">Newport 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15632</v>
      </c>
    </row>
    <row r="5" spans="1:4" x14ac:dyDescent="0.2">
      <c r="B5" t="s">
        <v>704</v>
      </c>
      <c r="C5" s="179">
        <f>IF('DOE25'!G664+'DOE25'!G669=0,0,ROUND('DOE25'!G671,0))</f>
        <v>11455</v>
      </c>
    </row>
    <row r="6" spans="1:4" x14ac:dyDescent="0.2">
      <c r="B6" t="s">
        <v>62</v>
      </c>
      <c r="C6" s="179">
        <f>IF('DOE25'!H664+'DOE25'!H669=0,0,ROUND('DOE25'!H671,0))</f>
        <v>16081</v>
      </c>
    </row>
    <row r="7" spans="1:4" x14ac:dyDescent="0.2">
      <c r="B7" t="s">
        <v>705</v>
      </c>
      <c r="C7" s="179">
        <f>IF('DOE25'!I664+'DOE25'!I669=0,0,ROUND('DOE25'!I671,0))</f>
        <v>15140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6436313</v>
      </c>
      <c r="D10" s="182">
        <f>ROUND((C10/$C$28)*100,1)</f>
        <v>37.9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3005807</v>
      </c>
      <c r="D11" s="182">
        <f>ROUND((C11/$C$28)*100,1)</f>
        <v>17.7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745033</v>
      </c>
      <c r="D12" s="182">
        <f>ROUND((C12/$C$28)*100,1)</f>
        <v>4.4000000000000004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319998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1366569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867585</v>
      </c>
      <c r="D16" s="182">
        <f t="shared" si="0"/>
        <v>5.0999999999999996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890537</v>
      </c>
      <c r="D17" s="182">
        <f t="shared" si="0"/>
        <v>5.2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1125654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1102068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443194</v>
      </c>
      <c r="D21" s="182">
        <f t="shared" si="0"/>
        <v>2.6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374587</v>
      </c>
      <c r="D25" s="182">
        <f t="shared" si="0"/>
        <v>2.2000000000000002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313773.92000000004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16991118.920000002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16991118.920000002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560000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5313462</v>
      </c>
      <c r="D35" s="182">
        <f t="shared" ref="D35:D40" si="1">ROUND((C35/$C$41)*100,1)</f>
        <v>30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1912247.3400000017</v>
      </c>
      <c r="D36" s="182">
        <f t="shared" si="1"/>
        <v>10.8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7982421</v>
      </c>
      <c r="D37" s="182">
        <f t="shared" si="1"/>
        <v>45.1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705499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1647900</v>
      </c>
      <c r="D39" s="182">
        <f t="shared" si="1"/>
        <v>9.3000000000000007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149630</v>
      </c>
      <c r="D40" s="182">
        <f t="shared" si="1"/>
        <v>0.8</v>
      </c>
    </row>
    <row r="41" spans="1:4" x14ac:dyDescent="0.2">
      <c r="B41" s="187" t="s">
        <v>736</v>
      </c>
      <c r="C41" s="180">
        <f>SUM(C35:C40)</f>
        <v>17711159.340000004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 xml:space="preserve">Newport 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2013-09-30T16:35:02Z</cp:lastPrinted>
  <dcterms:created xsi:type="dcterms:W3CDTF">1997-12-04T19:04:30Z</dcterms:created>
  <dcterms:modified xsi:type="dcterms:W3CDTF">2013-12-05T18:55:27Z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