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22785" windowHeight="115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0" i="1" l="1"/>
  <c r="G525" i="1"/>
  <c r="F525" i="1"/>
  <c r="F520" i="1"/>
  <c r="G530" i="1"/>
  <c r="C21" i="12"/>
  <c r="C19" i="12"/>
  <c r="C12" i="12"/>
  <c r="C10" i="12"/>
  <c r="G202" i="1"/>
  <c r="F366" i="1"/>
  <c r="I357" i="1"/>
  <c r="B21" i="12" l="1"/>
  <c r="B20" i="12"/>
  <c r="B19" i="12"/>
  <c r="B12" i="12"/>
  <c r="B10" i="12"/>
  <c r="H520" i="1"/>
  <c r="F530" i="1"/>
  <c r="H603" i="1"/>
  <c r="I199" i="1"/>
  <c r="K199" i="1"/>
  <c r="H199" i="1"/>
  <c r="J202" i="1"/>
  <c r="I202" i="1"/>
  <c r="I201" i="1"/>
  <c r="H206" i="1"/>
  <c r="H203" i="1"/>
  <c r="H202" i="1"/>
  <c r="H201" i="1"/>
  <c r="F202" i="1"/>
  <c r="F201" i="1"/>
  <c r="F109" i="1"/>
  <c r="F12" i="1"/>
  <c r="F9" i="1"/>
  <c r="K282" i="1"/>
  <c r="H154" i="1"/>
  <c r="F357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C10" i="10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H33" i="13"/>
  <c r="E33" i="13" l="1"/>
  <c r="D35" i="13" s="1"/>
  <c r="L210" i="1"/>
  <c r="F659" i="1" s="1"/>
  <c r="C16" i="13"/>
  <c r="E144" i="2"/>
  <c r="I660" i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L256" i="1" l="1"/>
  <c r="L270" i="1" s="1"/>
  <c r="G631" i="1" s="1"/>
  <c r="J631" i="1" s="1"/>
  <c r="F663" i="1"/>
  <c r="F671" i="1" s="1"/>
  <c r="C4" i="10" s="1"/>
  <c r="I659" i="1"/>
  <c r="I663" i="1" s="1"/>
  <c r="I671" i="1" s="1"/>
  <c r="C7" i="10" s="1"/>
  <c r="H645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6" i="1" l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<sst xmlns="http://schemas.openxmlformats.org/spreadsheetml/2006/main" count="3945" uniqueCount="911">
  <si>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</si>
  <si>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</si>
  <si>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</si>
  <si>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</si>
  <si>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</si>
  <si>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</si>
  <si>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</si>
  <si>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</si>
  <si>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</si>
  <si>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</si>
  <si>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</si>
  <si>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</si>
  <si>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</si>
  <si>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</si>
  <si>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</si>
  <si>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</si>
  <si>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</si>
  <si>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</si>
  <si>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</si>
  <si>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</si>
  <si>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</si>
  <si>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</si>
  <si>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</si>
  <si>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</si>
  <si>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</si>
  <si>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</si>
  <si>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</si>
  <si>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</si>
  <si>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</si>
  <si>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</si>
  <si>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</si>
  <si>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</si>
  <si>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</si>
  <si>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</si>
  <si>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</si>
  <si>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</si>
  <si>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</si>
  <si>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</si>
  <si>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</si>
  <si>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</si>
  <si>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</si>
  <si>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</si>
  <si>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</si>
  <si>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</si>
  <si>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</si>
  <si>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</si>
  <si>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</si>
  <si>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</si>
  <si>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</si>
  <si>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</si>
  <si>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</si>
  <si>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</si>
  <si>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</si>
  <si>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</si>
  <si>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</si>
  <si>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</si>
  <si>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</si>
  <si>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</si>
  <si>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</si>
  <si>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</si>
  <si>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</si>
  <si>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</si>
  <si>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</si>
  <si>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</si>
  <si>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</si>
  <si>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</si>
  <si>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</si>
  <si>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</si>
  <si>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</si>
  <si>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</si>
  <si>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</si>
  <si>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</si>
  <si>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</si>
  <si>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</si>
  <si>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</si>
  <si>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</si>
  <si>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</si>
  <si>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</si>
  <si>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</si>
  <si>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</si>
  <si>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</si>
  <si>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</si>
  <si>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</si>
  <si>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</si>
  <si>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</si>
  <si>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</si>
  <si>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</si>
  <si>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</si>
  <si>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</si>
  <si>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</si>
  <si>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</si>
  <si>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</si>
  <si>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</si>
  <si>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</si>
  <si>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</si>
  <si>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</si>
  <si>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</si>
  <si>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</si>
  <si>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</si>
  <si>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</si>
  <si>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</si>
  <si>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</si>
  <si>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</si>
  <si>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</si>
  <si>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</si>
  <si>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</si>
  <si>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</si>
  <si>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</si>
  <si>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</si>
  <si>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</si>
  <si>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</si>
  <si>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</si>
  <si>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</si>
  <si>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</si>
  <si>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</si>
  <si>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</si>
  <si>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</si>
  <si>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</si>
  <si>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</si>
  <si>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</si>
  <si>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</si>
  <si>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</si>
  <si>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</si>
  <si>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</si>
  <si>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</si>
  <si>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</si>
  <si>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</si>
  <si>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</si>
  <si>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</si>
  <si>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</si>
  <si>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</si>
  <si>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</si>
  <si>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</si>
  <si>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</si>
  <si>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</si>
  <si>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</si>
  <si>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</si>
  <si>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</si>
  <si>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</si>
  <si>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</si>
  <si>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</si>
  <si>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</si>
  <si>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</si>
  <si>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</si>
  <si>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</si>
  <si>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</si>
  <si>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</si>
  <si>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</si>
  <si>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</si>
  <si>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</si>
  <si>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</si>
  <si>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</si>
  <si>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</si>
  <si>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</si>
  <si>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</si>
  <si>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</si>
  <si>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</si>
  <si>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</si>
  <si>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</si>
  <si>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</si>
  <si>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</si>
  <si>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</si>
  <si>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</si>
  <si>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</si>
  <si>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</si>
  <si>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</si>
  <si>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</si>
  <si>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</si>
  <si>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</si>
  <si>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</si>
  <si>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</si>
  <si>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</si>
  <si>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</si>
  <si>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</si>
  <si>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</si>
  <si>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</si>
  <si>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</si>
  <si>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</si>
  <si>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</si>
  <si>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</si>
  <si>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</si>
  <si>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</si>
  <si>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</si>
  <si>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</si>
  <si>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</si>
  <si>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</si>
  <si>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</si>
  <si>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</si>
  <si>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</si>
  <si>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</si>
  <si>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</si>
  <si>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</si>
  <si>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</si>
  <si>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</si>
  <si>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</si>
  <si>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</si>
  <si>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</si>
  <si>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</si>
  <si>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</si>
  <si>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</si>
  <si>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</si>
  <si>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</si>
  <si>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</si>
  <si>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</si>
  <si>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</si>
  <si>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</si>
  <si>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</si>
  <si>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</si>
  <si>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</si>
  <si>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</si>
  <si>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</si>
  <si>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</si>
  <si>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</si>
  <si>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</si>
  <si>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</si>
  <si>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</si>
  <si>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</si>
  <si>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</si>
  <si>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</si>
  <si>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</si>
  <si>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</si>
  <si>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</si>
  <si>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</si>
  <si>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</si>
  <si>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</si>
  <si>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</si>
  <si>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</si>
  <si>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</si>
  <si>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</si>
  <si>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</si>
  <si>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</si>
  <si>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</si>
  <si>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</si>
  <si>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</si>
  <si>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</si>
  <si>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</si>
  <si>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</si>
  <si>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</si>
  <si>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</si>
  <si>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</si>
  <si>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</si>
  <si>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</si>
  <si>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</si>
  <si>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</si>
  <si>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</si>
  <si>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</si>
  <si>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</si>
  <si>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</si>
  <si>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</si>
  <si>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</si>
  <si>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</si>
  <si>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</si>
  <si>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</si>
  <si>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</si>
  <si>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</si>
  <si>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</si>
  <si>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</si>
  <si>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</si>
  <si>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</si>
  <si>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</si>
  <si>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</si>
  <si>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</si>
  <si>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</si>
  <si>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</si>
  <si>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</si>
  <si>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</si>
  <si>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</si>
  <si>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</si>
  <si>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</si>
  <si>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</si>
  <si>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</si>
  <si>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</si>
  <si>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</si>
  <si>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</si>
  <si>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</si>
  <si>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</si>
  <si>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</si>
  <si>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</si>
  <si>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</si>
  <si>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</si>
  <si>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</si>
  <si>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</si>
  <si>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</si>
  <si>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</si>
  <si>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</si>
  <si>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</si>
  <si>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</si>
  <si>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</si>
  <si>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</si>
  <si>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</si>
  <si>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</si>
  <si>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</si>
  <si>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</si>
  <si>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</si>
  <si>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</si>
  <si>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</si>
  <si>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</si>
  <si>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</si>
  <si>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</si>
  <si>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</si>
  <si>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</si>
  <si>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</si>
  <si>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</si>
  <si>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</si>
  <si>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</si>
  <si>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</si>
  <si>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</si>
  <si>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</si>
  <si>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</si>
  <si>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</si>
  <si>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</si>
  <si>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</si>
  <si>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</si>
  <si>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</si>
  <si>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</si>
  <si>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</si>
  <si>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</si>
  <si>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</si>
  <si>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</si>
  <si>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</si>
  <si>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</si>
  <si>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</si>
  <si>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</si>
  <si>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</si>
  <si>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</si>
  <si>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</si>
  <si>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</si>
  <si>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</si>
  <si>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</si>
  <si>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</si>
  <si>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</si>
  <si>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</si>
  <si>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</si>
  <si>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</si>
  <si>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</si>
  <si>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</si>
  <si>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</si>
  <si>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</si>
  <si>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</si>
  <si>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</si>
  <si>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</si>
  <si>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</si>
  <si>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</si>
  <si>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</si>
  <si>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</si>
  <si>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</si>
  <si>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</si>
  <si>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</si>
  <si>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</si>
  <si>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</si>
  <si>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</si>
  <si>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</si>
  <si>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</si>
  <si>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</si>
  <si>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</si>
  <si>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</si>
  <si>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</si>
  <si>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</si>
  <si>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</si>
  <si>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</si>
  <si>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</si>
  <si>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</si>
  <si>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</si>
  <si>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</si>
  <si>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</si>
  <si>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</si>
  <si>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</si>
  <si>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</si>
  <si>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</si>
  <si>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</si>
  <si>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</si>
  <si>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</si>
  <si>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</si>
  <si>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</si>
  <si>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</si>
  <si>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</si>
  <si>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</si>
  <si>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</si>
  <si>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</si>
  <si>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</si>
  <si>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</si>
  <si>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</si>
  <si>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</si>
  <si>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</si>
  <si>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</si>
  <si>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</si>
  <si>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</si>
  <si>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</si>
  <si>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</si>
  <si>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</si>
  <si>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</si>
  <si>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</si>
  <si>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</si>
  <si>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</si>
  <si>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</si>
  <si>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</si>
  <si>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</si>
  <si>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</si>
  <si>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</si>
  <si>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</si>
  <si>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</si>
  <si>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</si>
  <si>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</si>
  <si>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</si>
  <si>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</si>
  <si>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</si>
  <si>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</si>
  <si>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</si>
  <si>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</si>
  <si>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</si>
  <si>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</si>
  <si>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</si>
  <si>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</si>
  <si>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</si>
  <si>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</si>
  <si>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</si>
  <si>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</si>
  <si>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</si>
  <si>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</si>
  <si>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</si>
  <si>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</si>
  <si>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</si>
  <si>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</si>
  <si>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</si>
  <si>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</si>
  <si>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</si>
  <si>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</si>
  <si>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</si>
  <si>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</si>
  <si>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</si>
  <si>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</si>
  <si>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</si>
  <si>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</si>
  <si>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</si>
  <si>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</si>
  <si>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</si>
  <si>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</si>
  <si>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</si>
  <si>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</si>
  <si>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</si>
  <si>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</si>
  <si>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</si>
  <si>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</si>
  <si>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</si>
  <si>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</si>
  <si>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</si>
  <si>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</si>
  <si>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</si>
  <si>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</si>
  <si>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</si>
  <si>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</si>
  <si>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</si>
  <si>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</si>
  <si>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</si>
  <si>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</si>
  <si>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</si>
  <si>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</si>
  <si>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</si>
  <si>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</si>
  <si>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</si>
  <si>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</si>
  <si>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</si>
  <si>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</si>
  <si>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</si>
  <si>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</si>
  <si>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</si>
  <si>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</si>
  <si>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</si>
  <si>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</si>
  <si>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</si>
  <si>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</si>
  <si>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</si>
  <si>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</si>
  <si>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</si>
  <si>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</si>
  <si>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</si>
  <si>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</si>
  <si>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</si>
  <si>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</si>
  <si>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</si>
  <si>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</si>
  <si>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</si>
  <si>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</si>
  <si>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</si>
  <si>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</si>
  <si>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</si>
  <si>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</si>
  <si>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</si>
  <si>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</si>
  <si>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</si>
  <si>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</si>
  <si>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</si>
  <si>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</si>
  <si>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</si>
  <si>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</si>
  <si>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</si>
  <si>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</si>
  <si>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</si>
  <si>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</si>
  <si>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</si>
  <si>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</si>
  <si>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</si>
  <si>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</si>
  <si>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</si>
  <si>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</si>
  <si>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</si>
  <si>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</si>
  <si>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</si>
  <si>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</si>
  <si>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</si>
  <si>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</si>
  <si>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</si>
  <si>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</si>
  <si>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</si>
  <si>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</si>
  <si>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</si>
  <si>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</si>
  <si>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</si>
  <si>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</si>
  <si>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</si>
  <si>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</si>
  <si>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</si>
  <si>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</si>
  <si>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</si>
  <si>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</si>
  <si>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</si>
  <si>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</si>
  <si>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</si>
  <si>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</si>
  <si>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</si>
  <si>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</si>
  <si>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</si>
  <si>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</si>
  <si>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</si>
  <si>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</si>
  <si>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</si>
  <si>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</si>
  <si>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</si>
  <si>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</si>
  <si>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</si>
  <si>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</si>
  <si>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</si>
  <si>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</si>
  <si>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</si>
  <si>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</si>
  <si>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</si>
  <si>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</si>
  <si>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</si>
  <si>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</si>
  <si>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</si>
  <si>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</si>
  <si>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</si>
  <si>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</si>
  <si>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</si>
  <si>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</si>
  <si>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</si>
  <si>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</si>
  <si>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</si>
  <si>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</si>
  <si>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</si>
  <si>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</si>
  <si>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</si>
  <si>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</si>
  <si>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</si>
  <si>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</si>
  <si>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</si>
  <si>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</si>
  <si>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</si>
  <si>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</si>
  <si>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</si>
  <si>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</si>
  <si>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</si>
  <si>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</si>
  <si>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</si>
  <si>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</si>
  <si>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</si>
  <si>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</si>
  <si>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</si>
  <si>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</si>
  <si>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</si>
  <si>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</si>
  <si>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</si>
  <si>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</si>
  <si>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</si>
  <si>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</si>
  <si>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</si>
  <si>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</si>
  <si>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</si>
  <si>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</si>
  <si>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</si>
  <si>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</si>
  <si>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</si>
  <si>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</si>
  <si>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</si>
  <si>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</si>
  <si>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</si>
  <si>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</si>
  <si>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</si>
  <si>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</si>
  <si>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</si>
  <si>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</si>
  <si>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</si>
  <si>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</si>
  <si>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</si>
  <si>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</si>
  <si>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</si>
  <si>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</si>
  <si>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</si>
  <si>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</si>
  <si>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</si>
  <si>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</si>
  <si>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</si>
  <si>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</si>
  <si>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</si>
  <si>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</si>
  <si>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</si>
  <si>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</si>
  <si>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</si>
  <si>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</si>
  <si>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</si>
  <si>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</si>
  <si>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</si>
  <si>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</si>
  <si>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</si>
  <si>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</si>
  <si>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</si>
  <si>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</si>
  <si>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</si>
  <si>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</si>
  <si>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</si>
  <si>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</si>
  <si>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</si>
  <si>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</si>
  <si>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</si>
  <si>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</si>
  <si>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</si>
  <si>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</si>
  <si>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</si>
  <si>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</si>
  <si>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</si>
  <si>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</si>
  <si>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</si>
  <si>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</si>
  <si>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</si>
  <si>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</si>
  <si>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</si>
  <si>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</si>
  <si>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</si>
  <si>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</si>
  <si>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</si>
  <si>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</si>
  <si>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</si>
  <si>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</si>
  <si>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</si>
  <si>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</si>
  <si>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</si>
  <si>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</si>
  <si>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</si>
  <si>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</si>
  <si>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</si>
  <si>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</si>
  <si>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</si>
  <si>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</si>
  <si>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</si>
  <si>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</si>
  <si>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</si>
  <si>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</si>
  <si>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</si>
  <si>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</si>
  <si>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</si>
  <si>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</si>
  <si>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</si>
  <si>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</si>
  <si>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</si>
  <si>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</si>
  <si>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</si>
  <si>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</si>
  <si>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</si>
  <si>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</si>
  <si>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</si>
  <si>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</si>
  <si>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</si>
  <si>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</si>
  <si>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</si>
  <si>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</si>
  <si>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</si>
  <si>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</si>
  <si>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</si>
  <si>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</si>
  <si>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</si>
  <si>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</si>
  <si>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</si>
  <si>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</si>
  <si>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</si>
  <si>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</si>
  <si>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</si>
  <si>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</si>
  <si>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</si>
  <si>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</si>
  <si>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</si>
  <si>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</si>
  <si>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</si>
  <si>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</si>
  <si>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</si>
  <si>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</si>
  <si>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</si>
  <si>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</si>
  <si>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</si>
  <si>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</si>
  <si>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</si>
  <si>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</si>
  <si>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</si>
  <si>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</si>
  <si>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</si>
  <si>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</si>
  <si>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</si>
  <si>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</si>
  <si>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</si>
  <si>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</si>
  <si>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</si>
  <si>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</si>
  <si>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</si>
  <si>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</si>
  <si>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</si>
  <si>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</si>
  <si>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</si>
  <si>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</si>
  <si>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</si>
  <si>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</si>
  <si>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</si>
  <si>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</si>
  <si>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</si>
  <si>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</si>
  <si>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</si>
  <si>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</si>
  <si>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</si>
  <si>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</si>
  <si>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</si>
  <si>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</si>
  <si>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</si>
  <si>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</si>
  <si>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</si>
  <si>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</si>
  <si>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</si>
  <si>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</si>
  <si>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</si>
  <si>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</si>
  <si>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</si>
  <si>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</si>
  <si>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</si>
  <si>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</si>
  <si>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</si>
  <si>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</si>
  <si>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</si>
  <si>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</si>
  <si>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</si>
  <si>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</si>
  <si>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</si>
  <si>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</si>
  <si>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</si>
  <si>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</si>
  <si>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</si>
  <si>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</si>
  <si>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</si>
  <si>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</si>
  <si>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</si>
  <si>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</si>
  <si>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</si>
  <si>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</si>
  <si>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</si>
  <si>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</si>
  <si>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</si>
  <si>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</si>
  <si>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</si>
  <si>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</si>
  <si>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</si>
  <si>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</si>
  <si>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</si>
  <si>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</si>
  <si>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</si>
  <si>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</si>
  <si>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</si>
  <si>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</si>
  <si>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</si>
  <si>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</si>
  <si>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</si>
  <si>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</si>
  <si>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</si>
  <si>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</si>
  <si>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</si>
  <si>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</si>
  <si>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</si>
  <si>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</si>
  <si>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</si>
  <si>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</si>
  <si>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</si>
  <si>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</si>
  <si>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</si>
  <si>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</si>
  <si>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</si>
  <si>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</si>
  <si>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</si>
  <si>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</si>
  <si>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</si>
  <si>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</si>
  <si>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</si>
  <si>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</si>
  <si>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</si>
  <si>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</si>
  <si>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</si>
  <si>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</si>
  <si>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</si>
  <si>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</si>
  <si>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</si>
  <si>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</si>
  <si>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</si>
  <si>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</si>
  <si>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</si>
  <si>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</si>
  <si>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</si>
  <si>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</si>
  <si>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</si>
  <si>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</si>
  <si>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</si>
  <si>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</si>
  <si>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</si>
  <si>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</si>
  <si>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</si>
  <si>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</si>
  <si>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</si>
  <si>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</si>
  <si>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</si>
  <si>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</si>
  <si>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</si>
  <si>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</si>
  <si>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</si>
  <si>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</si>
  <si>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</si>
  <si>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</si>
  <si>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</si>
  <si>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</si>
  <si>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</si>
  <si>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</si>
  <si>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</si>
  <si>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</si>
  <si>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</si>
  <si>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</si>
  <si>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</si>
  <si>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</si>
  <si>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</si>
  <si>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</si>
  <si>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</si>
  <si>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</si>
  <si>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</si>
  <si>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</si>
  <si>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</si>
  <si>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</si>
  <si>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</si>
  <si>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</si>
  <si>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</si>
  <si>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</si>
  <si>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</si>
  <si>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</si>
  <si>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</si>
  <si>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</si>
  <si>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</si>
  <si>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</si>
  <si>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</si>
  <si>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</si>
  <si>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</si>
  <si>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</si>
  <si>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</si>
  <si>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</si>
  <si>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</si>
  <si>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</si>
  <si>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</si>
  <si>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</si>
  <si>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</si>
  <si>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</si>
  <si>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</si>
  <si>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</si>
  <si>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</si>
  <si>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</si>
  <si>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</si>
  <si>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</si>
  <si>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</si>
  <si>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</si>
  <si>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</si>
  <si>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</si>
  <si>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</si>
  <si>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</si>
  <si>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</si>
  <si>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</si>
  <si>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</si>
  <si>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</si>
  <si>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</si>
  <si>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</si>
  <si>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</si>
  <si>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</si>
  <si>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</si>
  <si>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</si>
  <si>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</si>
  <si>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</si>
  <si>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</si>
  <si>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</si>
  <si>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</si>
  <si>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</si>
  <si>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</si>
  <si>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</si>
  <si>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NORTH HAMPTON</t>
  </si>
  <si>
    <t>Audit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</si>
</sst>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405</v>
      </c>
      <c r="C2" s="21">
        <v>405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207539.68+133.61</f>
        <v>207673.28999999998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185988.71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17153.59+1826.07</f>
        <v>18979.66</v>
      </c>
      <c r="G12" s="18">
        <v>1826.07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1425.89</v>
      </c>
      <c r="G13" s="18">
        <v>1681.06</v>
      </c>
      <c r="H13" s="18">
        <v>17153.59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3524.71</v>
      </c>
      <c r="G14" s="18">
        <v>173.2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231603.55</v>
      </c>
      <c r="G19" s="41">
        <f>SUM(G9:G18)</f>
        <v>3680.33</v>
      </c>
      <c r="H19" s="41">
        <f>SUM(H9:H18)</f>
        <v>17153.59</v>
      </c>
      <c r="I19" s="41">
        <f>SUM(I9:I18)</f>
        <v>0</v>
      </c>
      <c r="J19" s="41">
        <f>SUM(J9:J18)</f>
        <v>185988.71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17153.59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25176.25</v>
      </c>
      <c r="G24" s="18">
        <v>575.98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28527.14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2914.1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53703.39</v>
      </c>
      <c r="G32" s="41">
        <f>SUM(G22:G31)</f>
        <v>3490.08</v>
      </c>
      <c r="H32" s="41">
        <f>SUM(H22:H31)</f>
        <v>17153.59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190.25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17969.23</v>
      </c>
      <c r="G47" s="18"/>
      <c r="H47" s="18"/>
      <c r="I47" s="18"/>
      <c r="J47" s="13">
        <f>SUM(I458)</f>
        <v>185988.71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9085.18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55845.75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177900.16</v>
      </c>
      <c r="G50" s="41">
        <f>SUM(G35:G49)</f>
        <v>190.25</v>
      </c>
      <c r="H50" s="41">
        <f>SUM(H35:H49)</f>
        <v>0</v>
      </c>
      <c r="I50" s="41">
        <f>SUM(I35:I49)</f>
        <v>0</v>
      </c>
      <c r="J50" s="41">
        <f>SUM(J35:J49)</f>
        <v>185988.71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231603.55</v>
      </c>
      <c r="G51" s="41">
        <f>G50+G32</f>
        <v>3680.33</v>
      </c>
      <c r="H51" s="41">
        <f>H50+H32</f>
        <v>17153.59</v>
      </c>
      <c r="I51" s="41">
        <f>I50+I32</f>
        <v>0</v>
      </c>
      <c r="J51" s="41">
        <f>J50+J32</f>
        <v>185988.71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5823677.9900000002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5823677.9900000002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6787.5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6787.5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1029.1600000000001</v>
      </c>
      <c r="G95" s="18"/>
      <c r="H95" s="18"/>
      <c r="I95" s="18"/>
      <c r="J95" s="18">
        <v>452.55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106283.34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831.48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4658.13+22057.74+535.81</f>
        <v>27251.680000000004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29112.320000000003</v>
      </c>
      <c r="G110" s="41">
        <f>SUM(G95:G109)</f>
        <v>106283.34</v>
      </c>
      <c r="H110" s="41">
        <f>SUM(H95:H109)</f>
        <v>0</v>
      </c>
      <c r="I110" s="41">
        <f>SUM(I95:I109)</f>
        <v>0</v>
      </c>
      <c r="J110" s="41">
        <f>SUM(J95:J109)</f>
        <v>452.55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5859577.8100000005</v>
      </c>
      <c r="G111" s="41">
        <f>G59+G110</f>
        <v>106283.34</v>
      </c>
      <c r="H111" s="41">
        <f>H59+H78+H93+H110</f>
        <v>0</v>
      </c>
      <c r="I111" s="41">
        <f>I59+I110</f>
        <v>0</v>
      </c>
      <c r="J111" s="41">
        <f>J59+J110</f>
        <v>452.55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166489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1707726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1874215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1863.95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1863.95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1874215</v>
      </c>
      <c r="G139" s="41">
        <f>G120+SUM(G135:G136)</f>
        <v>1863.95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34582.85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33540.32+1.05</f>
        <v>33541.370000000003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26057.39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92579.23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33726.639999999999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12300.48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33726.639999999999</v>
      </c>
      <c r="G161" s="41">
        <f>SUM(G149:G160)</f>
        <v>38357.869999999995</v>
      </c>
      <c r="H161" s="41">
        <f>SUM(H149:H160)</f>
        <v>160703.45000000001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33726.639999999999</v>
      </c>
      <c r="G168" s="41">
        <f>G146+G161+SUM(G162:G167)</f>
        <v>38357.869999999995</v>
      </c>
      <c r="H168" s="41">
        <f>H146+H161+SUM(H162:H167)</f>
        <v>160703.45000000001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9996.2900000000009</v>
      </c>
      <c r="H178" s="18"/>
      <c r="I178" s="18"/>
      <c r="J178" s="18">
        <v>140000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9996.2900000000009</v>
      </c>
      <c r="H182" s="41">
        <f>SUM(H178:H181)</f>
        <v>0</v>
      </c>
      <c r="I182" s="41">
        <f>SUM(I178:I181)</f>
        <v>0</v>
      </c>
      <c r="J182" s="41">
        <f>SUM(J178:J181)</f>
        <v>140000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9996.2900000000009</v>
      </c>
      <c r="H191" s="41">
        <f>+H182+SUM(H187:H190)</f>
        <v>0</v>
      </c>
      <c r="I191" s="41">
        <f>I176+I182+SUM(I187:I190)</f>
        <v>0</v>
      </c>
      <c r="J191" s="41">
        <f>J182</f>
        <v>140000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7767519.4500000002</v>
      </c>
      <c r="G192" s="47">
        <f>G111+G139+G168+G191</f>
        <v>156501.44999999998</v>
      </c>
      <c r="H192" s="47">
        <f>H111+H139+H168+H191</f>
        <v>160703.45000000001</v>
      </c>
      <c r="I192" s="47">
        <f>I111+I139+I168+I191</f>
        <v>0</v>
      </c>
      <c r="J192" s="47">
        <f>J111+J139+J191</f>
        <v>140452.54999999999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2230510.14</v>
      </c>
      <c r="G196" s="18">
        <v>970135.89</v>
      </c>
      <c r="H196" s="18">
        <v>18073.349999999999</v>
      </c>
      <c r="I196" s="18">
        <v>76259.17</v>
      </c>
      <c r="J196" s="18">
        <v>279</v>
      </c>
      <c r="K196" s="18"/>
      <c r="L196" s="19">
        <f>SUM(F196:K196)</f>
        <v>3295257.5500000003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1123059.27</v>
      </c>
      <c r="G197" s="18">
        <v>339527.71</v>
      </c>
      <c r="H197" s="18">
        <v>90319.26</v>
      </c>
      <c r="I197" s="18">
        <v>3955.58</v>
      </c>
      <c r="J197" s="18">
        <v>3429.97</v>
      </c>
      <c r="K197" s="18">
        <v>655</v>
      </c>
      <c r="L197" s="19">
        <f>SUM(F197:K197)</f>
        <v>1560946.79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32465</v>
      </c>
      <c r="G199" s="18">
        <v>2483.5700000000002</v>
      </c>
      <c r="H199" s="18">
        <f>1105+1000</f>
        <v>2105</v>
      </c>
      <c r="I199" s="18">
        <f>7876.02+3567.05</f>
        <v>11443.07</v>
      </c>
      <c r="J199" s="18">
        <v>482.34</v>
      </c>
      <c r="K199" s="18">
        <f>52038.46+1860</f>
        <v>53898.46</v>
      </c>
      <c r="L199" s="19">
        <f>SUM(F199:K199)</f>
        <v>102877.44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73950.08+52071.24+246629.16</f>
        <v>372650.48</v>
      </c>
      <c r="G201" s="18">
        <v>171414.81</v>
      </c>
      <c r="H201" s="18">
        <f>480</f>
        <v>480</v>
      </c>
      <c r="I201" s="18">
        <f>31.92+2343.45+847.64</f>
        <v>3223.0099999999998</v>
      </c>
      <c r="J201" s="18">
        <v>393.69</v>
      </c>
      <c r="K201" s="18"/>
      <c r="L201" s="19">
        <f t="shared" ref="L201:L207" si="0">SUM(F201:K201)</f>
        <v>548161.99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750+93757.37+191109.26</f>
        <v>285616.63</v>
      </c>
      <c r="G202" s="18">
        <f>4519.38+102929.37</f>
        <v>107448.75</v>
      </c>
      <c r="H202" s="18">
        <f>17700.18+10934.41</f>
        <v>28634.59</v>
      </c>
      <c r="I202" s="18">
        <f>1518.67+27103.45+34597.57+1101.94</f>
        <v>64321.630000000005</v>
      </c>
      <c r="J202" s="18">
        <f>1241+55140.88+2904</f>
        <v>59285.88</v>
      </c>
      <c r="K202" s="18">
        <v>1508.8</v>
      </c>
      <c r="L202" s="19">
        <f t="shared" si="0"/>
        <v>546816.28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10580</v>
      </c>
      <c r="G203" s="18">
        <v>809.37</v>
      </c>
      <c r="H203" s="18">
        <f>15859.31+198895</f>
        <v>214754.31</v>
      </c>
      <c r="I203" s="18"/>
      <c r="J203" s="18"/>
      <c r="K203" s="18">
        <v>26267.97</v>
      </c>
      <c r="L203" s="19">
        <f t="shared" si="0"/>
        <v>252411.65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294830.76</v>
      </c>
      <c r="G204" s="18">
        <v>101827.4</v>
      </c>
      <c r="H204" s="18">
        <v>11196.96</v>
      </c>
      <c r="I204" s="18">
        <v>2442.1</v>
      </c>
      <c r="J204" s="18"/>
      <c r="K204" s="18">
        <v>988</v>
      </c>
      <c r="L204" s="19">
        <f t="shared" si="0"/>
        <v>411285.22000000003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181202.16</v>
      </c>
      <c r="G206" s="18">
        <v>117520.31</v>
      </c>
      <c r="H206" s="18">
        <f>86002.75+26467.24+649.56</f>
        <v>113119.55</v>
      </c>
      <c r="I206" s="18">
        <v>146143.73000000001</v>
      </c>
      <c r="J206" s="18">
        <v>16013.9</v>
      </c>
      <c r="K206" s="18"/>
      <c r="L206" s="19">
        <f t="shared" si="0"/>
        <v>573999.65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331879.13</v>
      </c>
      <c r="I207" s="18"/>
      <c r="J207" s="18"/>
      <c r="K207" s="18"/>
      <c r="L207" s="19">
        <f t="shared" si="0"/>
        <v>331879.13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670.25</v>
      </c>
      <c r="L208" s="19">
        <f>SUM(F208:K208)</f>
        <v>670.25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4530914.4400000004</v>
      </c>
      <c r="G210" s="41">
        <f t="shared" si="1"/>
        <v>1811167.8100000003</v>
      </c>
      <c r="H210" s="41">
        <f t="shared" si="1"/>
        <v>810562.15</v>
      </c>
      <c r="I210" s="41">
        <f t="shared" si="1"/>
        <v>307788.29000000004</v>
      </c>
      <c r="J210" s="41">
        <f t="shared" si="1"/>
        <v>79884.78</v>
      </c>
      <c r="K210" s="41">
        <f t="shared" si="1"/>
        <v>83988.48000000001</v>
      </c>
      <c r="L210" s="41">
        <f t="shared" si="1"/>
        <v>7624305.9500000011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4530914.4400000004</v>
      </c>
      <c r="G256" s="41">
        <f t="shared" si="8"/>
        <v>1811167.8100000003</v>
      </c>
      <c r="H256" s="41">
        <f t="shared" si="8"/>
        <v>810562.15</v>
      </c>
      <c r="I256" s="41">
        <f t="shared" si="8"/>
        <v>307788.29000000004</v>
      </c>
      <c r="J256" s="41">
        <f t="shared" si="8"/>
        <v>79884.78</v>
      </c>
      <c r="K256" s="41">
        <f t="shared" si="8"/>
        <v>83988.48000000001</v>
      </c>
      <c r="L256" s="41">
        <f t="shared" si="8"/>
        <v>7624305.9500000011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9996.2900000000009</v>
      </c>
      <c r="L262" s="19">
        <f>SUM(F262:K262)</f>
        <v>9996.2900000000009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140000</v>
      </c>
      <c r="L265" s="19">
        <f t="shared" si="9"/>
        <v>140000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149996.29</v>
      </c>
      <c r="L269" s="41">
        <f t="shared" si="9"/>
        <v>149996.29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4530914.4400000004</v>
      </c>
      <c r="G270" s="42">
        <f t="shared" si="11"/>
        <v>1811167.8100000003</v>
      </c>
      <c r="H270" s="42">
        <f t="shared" si="11"/>
        <v>810562.15</v>
      </c>
      <c r="I270" s="42">
        <f t="shared" si="11"/>
        <v>307788.29000000004</v>
      </c>
      <c r="J270" s="42">
        <f t="shared" si="11"/>
        <v>79884.78</v>
      </c>
      <c r="K270" s="42">
        <f t="shared" si="11"/>
        <v>233984.77000000002</v>
      </c>
      <c r="L270" s="42">
        <f t="shared" si="11"/>
        <v>7774302.2400000012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54334</v>
      </c>
      <c r="G275" s="18">
        <v>5845.67</v>
      </c>
      <c r="H275" s="18">
        <v>1695</v>
      </c>
      <c r="I275" s="18">
        <v>556.35</v>
      </c>
      <c r="J275" s="18"/>
      <c r="K275" s="18"/>
      <c r="L275" s="19">
        <f>SUM(F275:K275)</f>
        <v>62431.02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69967.25</v>
      </c>
      <c r="G276" s="18">
        <v>12964.21</v>
      </c>
      <c r="H276" s="18">
        <v>8550</v>
      </c>
      <c r="I276" s="18"/>
      <c r="J276" s="18"/>
      <c r="K276" s="18"/>
      <c r="L276" s="19">
        <f>SUM(F276:K276)</f>
        <v>91481.459999999992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4275</v>
      </c>
      <c r="G278" s="18">
        <v>360.85</v>
      </c>
      <c r="H278" s="18"/>
      <c r="I278" s="18">
        <v>100.58</v>
      </c>
      <c r="J278" s="18"/>
      <c r="K278" s="18"/>
      <c r="L278" s="19">
        <f>SUM(F278:K278)</f>
        <v>4736.43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2053.49+1.05</f>
        <v>2054.54</v>
      </c>
      <c r="L282" s="19">
        <f t="shared" si="12"/>
        <v>2054.54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128576.25</v>
      </c>
      <c r="G289" s="42">
        <f t="shared" si="13"/>
        <v>19170.729999999996</v>
      </c>
      <c r="H289" s="42">
        <f t="shared" si="13"/>
        <v>10245</v>
      </c>
      <c r="I289" s="42">
        <f t="shared" si="13"/>
        <v>656.93000000000006</v>
      </c>
      <c r="J289" s="42">
        <f t="shared" si="13"/>
        <v>0</v>
      </c>
      <c r="K289" s="42">
        <f t="shared" si="13"/>
        <v>2054.54</v>
      </c>
      <c r="L289" s="41">
        <f t="shared" si="13"/>
        <v>160703.44999999998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128576.25</v>
      </c>
      <c r="G337" s="41">
        <f t="shared" si="20"/>
        <v>19170.729999999996</v>
      </c>
      <c r="H337" s="41">
        <f t="shared" si="20"/>
        <v>10245</v>
      </c>
      <c r="I337" s="41">
        <f t="shared" si="20"/>
        <v>656.93000000000006</v>
      </c>
      <c r="J337" s="41">
        <f t="shared" si="20"/>
        <v>0</v>
      </c>
      <c r="K337" s="41">
        <f t="shared" si="20"/>
        <v>2054.54</v>
      </c>
      <c r="L337" s="41">
        <f t="shared" si="20"/>
        <v>160703.44999999998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128576.25</v>
      </c>
      <c r="G351" s="41">
        <f>G337</f>
        <v>19170.729999999996</v>
      </c>
      <c r="H351" s="41">
        <f>H337</f>
        <v>10245</v>
      </c>
      <c r="I351" s="41">
        <f>I337</f>
        <v>656.93000000000006</v>
      </c>
      <c r="J351" s="41">
        <f>J337</f>
        <v>0</v>
      </c>
      <c r="K351" s="47">
        <f>K337+K350</f>
        <v>2054.54</v>
      </c>
      <c r="L351" s="41">
        <f>L337+L350</f>
        <v>160703.44999999998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35499.93+46099.51+29.25</f>
        <v>81628.69</v>
      </c>
      <c r="G357" s="18"/>
      <c r="H357" s="18">
        <v>2230.19</v>
      </c>
      <c r="I357" s="18">
        <f>4322.05+52136.05+12300.48+2546.29</f>
        <v>71304.87</v>
      </c>
      <c r="J357" s="18">
        <v>633.15</v>
      </c>
      <c r="K357" s="18">
        <v>541.91</v>
      </c>
      <c r="L357" s="13">
        <f>SUM(F357:K357)</f>
        <v>156338.81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81628.69</v>
      </c>
      <c r="G361" s="47">
        <f t="shared" si="22"/>
        <v>0</v>
      </c>
      <c r="H361" s="47">
        <f t="shared" si="22"/>
        <v>2230.19</v>
      </c>
      <c r="I361" s="47">
        <f t="shared" si="22"/>
        <v>71304.87</v>
      </c>
      <c r="J361" s="47">
        <f t="shared" si="22"/>
        <v>633.15</v>
      </c>
      <c r="K361" s="47">
        <f t="shared" si="22"/>
        <v>541.91</v>
      </c>
      <c r="L361" s="47">
        <f t="shared" si="22"/>
        <v>156338.81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52136.05+12300.48+2546.29</f>
        <v>66982.819999999992</v>
      </c>
      <c r="G366" s="18"/>
      <c r="H366" s="18"/>
      <c r="I366" s="56">
        <f>SUM(F366:H366)</f>
        <v>66982.819999999992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4322.05</v>
      </c>
      <c r="G367" s="63"/>
      <c r="H367" s="63"/>
      <c r="I367" s="56">
        <f>SUM(F367:H367)</f>
        <v>4322.05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71304.87</v>
      </c>
      <c r="G368" s="47">
        <f>SUM(G366:G367)</f>
        <v>0</v>
      </c>
      <c r="H368" s="47">
        <f>SUM(H366:H367)</f>
        <v>0</v>
      </c>
      <c r="I368" s="47">
        <f>SUM(I366:I367)</f>
        <v>71304.87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22.87</v>
      </c>
      <c r="I388" s="18"/>
      <c r="J388" s="24" t="s">
        <v>289</v>
      </c>
      <c r="K388" s="24" t="s">
        <v>289</v>
      </c>
      <c r="L388" s="56">
        <f t="shared" si="25"/>
        <v>22.87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22.87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22.87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>
        <v>30000</v>
      </c>
      <c r="H394" s="18">
        <v>105.41</v>
      </c>
      <c r="I394" s="18"/>
      <c r="J394" s="24" t="s">
        <v>289</v>
      </c>
      <c r="K394" s="24" t="s">
        <v>289</v>
      </c>
      <c r="L394" s="56">
        <f t="shared" ref="L394:L399" si="26">SUM(F394:K394)</f>
        <v>30105.41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60000</v>
      </c>
      <c r="H395" s="18">
        <v>227.16</v>
      </c>
      <c r="I395" s="18"/>
      <c r="J395" s="24" t="s">
        <v>289</v>
      </c>
      <c r="K395" s="24" t="s">
        <v>289</v>
      </c>
      <c r="L395" s="56">
        <f t="shared" si="26"/>
        <v>60227.16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97.11</v>
      </c>
      <c r="I396" s="18"/>
      <c r="J396" s="24" t="s">
        <v>289</v>
      </c>
      <c r="K396" s="24" t="s">
        <v>289</v>
      </c>
      <c r="L396" s="56">
        <f t="shared" si="26"/>
        <v>50097.11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140000</v>
      </c>
      <c r="H400" s="47">
        <f>SUM(H394:H399)</f>
        <v>429.68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140429.68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140000</v>
      </c>
      <c r="H407" s="47">
        <f>H392+H400+H406</f>
        <v>452.55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140452.54999999999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22000</v>
      </c>
      <c r="I414" s="18"/>
      <c r="J414" s="18"/>
      <c r="K414" s="18"/>
      <c r="L414" s="56">
        <f t="shared" si="27"/>
        <v>22000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22000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22000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35300</v>
      </c>
      <c r="I421" s="18"/>
      <c r="J421" s="18"/>
      <c r="K421" s="18"/>
      <c r="L421" s="56">
        <f t="shared" si="29"/>
        <v>35300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64000</v>
      </c>
      <c r="I422" s="18"/>
      <c r="J422" s="18"/>
      <c r="K422" s="18"/>
      <c r="L422" s="56">
        <f t="shared" si="29"/>
        <v>64000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99300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99300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121300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121300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185988.71</v>
      </c>
      <c r="H439" s="18"/>
      <c r="I439" s="56">
        <f t="shared" si="33"/>
        <v>185988.71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185988.71</v>
      </c>
      <c r="H445" s="13">
        <f>SUM(H438:H444)</f>
        <v>0</v>
      </c>
      <c r="I445" s="13">
        <f>SUM(I438:I444)</f>
        <v>185988.71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185988.71</v>
      </c>
      <c r="H458" s="18"/>
      <c r="I458" s="56">
        <f t="shared" si="34"/>
        <v>185988.71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185988.71</v>
      </c>
      <c r="H459" s="83">
        <f>SUM(H453:H458)</f>
        <v>0</v>
      </c>
      <c r="I459" s="83">
        <f>SUM(I453:I458)</f>
        <v>185988.71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185988.71</v>
      </c>
      <c r="H460" s="42">
        <f>H451+H459</f>
        <v>0</v>
      </c>
      <c r="I460" s="42">
        <f>I451+I459</f>
        <v>185988.71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184682.95</v>
      </c>
      <c r="G464" s="18">
        <v>27.61</v>
      </c>
      <c r="H464" s="18">
        <v>0</v>
      </c>
      <c r="I464" s="18"/>
      <c r="J464" s="18">
        <v>166836.28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7767519.4500000002</v>
      </c>
      <c r="G467" s="18">
        <v>156501.45000000001</v>
      </c>
      <c r="H467" s="18">
        <v>160703.45000000001</v>
      </c>
      <c r="I467" s="18"/>
      <c r="J467" s="18">
        <v>140452.54999999999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7767519.4500000002</v>
      </c>
      <c r="G469" s="53">
        <f>SUM(G467:G468)</f>
        <v>156501.45000000001</v>
      </c>
      <c r="H469" s="53">
        <f>SUM(H467:H468)</f>
        <v>160703.45000000001</v>
      </c>
      <c r="I469" s="53">
        <f>SUM(I467:I468)</f>
        <v>0</v>
      </c>
      <c r="J469" s="53">
        <f>SUM(J467:J468)</f>
        <v>140452.54999999999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7774302.2400000002</v>
      </c>
      <c r="G471" s="18">
        <v>156338.81</v>
      </c>
      <c r="H471" s="18">
        <v>160703.45000000001</v>
      </c>
      <c r="I471" s="18"/>
      <c r="J471" s="18">
        <v>121300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>
        <v>0.12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7774302.2400000002</v>
      </c>
      <c r="G473" s="53">
        <f>SUM(G471:G472)</f>
        <v>156338.81</v>
      </c>
      <c r="H473" s="53">
        <f>SUM(H471:H472)</f>
        <v>160703.45000000001</v>
      </c>
      <c r="I473" s="53">
        <f>SUM(I471:I472)</f>
        <v>0</v>
      </c>
      <c r="J473" s="53">
        <f>SUM(J471:J472)</f>
        <v>121300.12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177900.16000000015</v>
      </c>
      <c r="G475" s="53">
        <f>(G464+G469)- G473</f>
        <v>190.25</v>
      </c>
      <c r="H475" s="53">
        <f>(H464+H469)- H473</f>
        <v>0</v>
      </c>
      <c r="I475" s="53">
        <f>(I464+I469)- I473</f>
        <v>0</v>
      </c>
      <c r="J475" s="53">
        <f>(J464+J469)- J473</f>
        <v>185988.70999999996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401946.27+432600.58+4945+47219.75</f>
        <v>886711.60000000009</v>
      </c>
      <c r="G520" s="18">
        <f>142923.89+87315.83+10692.73+267.45</f>
        <v>241199.90000000005</v>
      </c>
      <c r="H520" s="18">
        <f>90319.26-34630.24</f>
        <v>55689.02</v>
      </c>
      <c r="I520" s="18">
        <v>3955.58</v>
      </c>
      <c r="J520" s="18">
        <v>3429.97</v>
      </c>
      <c r="K520" s="18"/>
      <c r="L520" s="88">
        <f>SUM(F520:K520)</f>
        <v>1190986.0700000003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886711.60000000009</v>
      </c>
      <c r="G523" s="108">
        <f t="shared" ref="G523:L523" si="36">SUM(G520:G522)</f>
        <v>241199.90000000005</v>
      </c>
      <c r="H523" s="108">
        <f t="shared" si="36"/>
        <v>55689.02</v>
      </c>
      <c r="I523" s="108">
        <f t="shared" si="36"/>
        <v>3955.58</v>
      </c>
      <c r="J523" s="108">
        <f t="shared" si="36"/>
        <v>3429.97</v>
      </c>
      <c r="K523" s="108">
        <f t="shared" si="36"/>
        <v>0</v>
      </c>
      <c r="L523" s="89">
        <f t="shared" si="36"/>
        <v>1190986.0700000003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19260+147564.02+246629.16+22747.5</f>
        <v>436200.68</v>
      </c>
      <c r="G525" s="18">
        <f>72755.51+1662.14+54618+1958+2004.03</f>
        <v>132997.68</v>
      </c>
      <c r="H525" s="18"/>
      <c r="I525" s="18"/>
      <c r="J525" s="18"/>
      <c r="K525" s="18"/>
      <c r="L525" s="88">
        <f>SUM(F525:K525)</f>
        <v>569198.36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436200.68</v>
      </c>
      <c r="G528" s="89">
        <f t="shared" ref="G528:L528" si="37">SUM(G525:G527)</f>
        <v>132997.68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569198.36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87918.55+28824.85</f>
        <v>116743.4</v>
      </c>
      <c r="G530" s="18">
        <f>27711.17+7159.17</f>
        <v>34870.339999999997</v>
      </c>
      <c r="H530" s="18"/>
      <c r="I530" s="18"/>
      <c r="J530" s="18"/>
      <c r="K530" s="18">
        <v>655</v>
      </c>
      <c r="L530" s="88">
        <f>SUM(F530:K530)</f>
        <v>152268.74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116743.4</v>
      </c>
      <c r="G533" s="89">
        <f t="shared" ref="G533:L533" si="38">SUM(G530:G532)</f>
        <v>34870.339999999997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655</v>
      </c>
      <c r="L533" s="89">
        <f t="shared" si="38"/>
        <v>152268.74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34630.239999999998</v>
      </c>
      <c r="I535" s="18"/>
      <c r="J535" s="18"/>
      <c r="K535" s="18"/>
      <c r="L535" s="88">
        <f>SUM(F535:K535)</f>
        <v>34630.239999999998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34630.239999999998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34630.239999999998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16709.8</v>
      </c>
      <c r="I540" s="18"/>
      <c r="J540" s="18"/>
      <c r="K540" s="18"/>
      <c r="L540" s="88">
        <f>SUM(F540:K540)</f>
        <v>16709.8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16709.8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16709.8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1439655.68</v>
      </c>
      <c r="G544" s="89">
        <f t="shared" ref="G544:L544" si="41">G523+G528+G533+G538+G543</f>
        <v>409067.92000000004</v>
      </c>
      <c r="H544" s="89">
        <f t="shared" si="41"/>
        <v>107029.06</v>
      </c>
      <c r="I544" s="89">
        <f t="shared" si="41"/>
        <v>3955.58</v>
      </c>
      <c r="J544" s="89">
        <f t="shared" si="41"/>
        <v>3429.97</v>
      </c>
      <c r="K544" s="89">
        <f t="shared" si="41"/>
        <v>655</v>
      </c>
      <c r="L544" s="89">
        <f t="shared" si="41"/>
        <v>1963793.2100000002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1190986.0700000003</v>
      </c>
      <c r="G548" s="87">
        <f>L525</f>
        <v>569198.36</v>
      </c>
      <c r="H548" s="87">
        <f>L530</f>
        <v>152268.74</v>
      </c>
      <c r="I548" s="87">
        <f>L535</f>
        <v>34630.239999999998</v>
      </c>
      <c r="J548" s="87">
        <f>L540</f>
        <v>16709.8</v>
      </c>
      <c r="K548" s="87">
        <f>SUM(F548:J548)</f>
        <v>1963793.2100000002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1190986.0700000003</v>
      </c>
      <c r="G551" s="89">
        <f t="shared" si="42"/>
        <v>569198.36</v>
      </c>
      <c r="H551" s="89">
        <f t="shared" si="42"/>
        <v>152268.74</v>
      </c>
      <c r="I551" s="89">
        <f t="shared" si="42"/>
        <v>34630.239999999998</v>
      </c>
      <c r="J551" s="89">
        <f t="shared" si="42"/>
        <v>16709.8</v>
      </c>
      <c r="K551" s="89">
        <f t="shared" si="42"/>
        <v>1963793.2100000002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303863.98</v>
      </c>
      <c r="I590" s="18"/>
      <c r="J590" s="18"/>
      <c r="K590" s="104">
        <f t="shared" ref="K590:K596" si="48">SUM(H590:J590)</f>
        <v>303863.98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16709.8</v>
      </c>
      <c r="I591" s="18"/>
      <c r="J591" s="18"/>
      <c r="K591" s="104">
        <f t="shared" si="48"/>
        <v>16709.8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5179.45</v>
      </c>
      <c r="I593" s="18"/>
      <c r="J593" s="18"/>
      <c r="K593" s="104">
        <f t="shared" si="48"/>
        <v>5179.45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6125.9</v>
      </c>
      <c r="I594" s="18"/>
      <c r="J594" s="18"/>
      <c r="K594" s="104">
        <f t="shared" si="48"/>
        <v>6125.9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331879.13</v>
      </c>
      <c r="I597" s="108">
        <f>SUM(I590:I596)</f>
        <v>0</v>
      </c>
      <c r="J597" s="108">
        <f>SUM(J590:J596)</f>
        <v>0</v>
      </c>
      <c r="K597" s="108">
        <f>SUM(K590:K596)</f>
        <v>331879.13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76498.44+2904+482.34</f>
        <v>79884.78</v>
      </c>
      <c r="I603" s="18"/>
      <c r="J603" s="18"/>
      <c r="K603" s="104">
        <f>SUM(H603:J603)</f>
        <v>79884.78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79884.78</v>
      </c>
      <c r="I604" s="108">
        <f>SUM(I601:I603)</f>
        <v>0</v>
      </c>
      <c r="J604" s="108">
        <f>SUM(J601:J603)</f>
        <v>0</v>
      </c>
      <c r="K604" s="108">
        <f>SUM(K601:K603)</f>
        <v>79884.78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231603.55</v>
      </c>
      <c r="H616" s="109">
        <f>SUM(F51)</f>
        <v>231603.55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3680.33</v>
      </c>
      <c r="H617" s="109">
        <f>SUM(G51)</f>
        <v>3680.33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17153.59</v>
      </c>
      <c r="H618" s="109">
        <f>SUM(H51)</f>
        <v>17153.59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185988.71</v>
      </c>
      <c r="H620" s="109">
        <f>SUM(J51)</f>
        <v>185988.71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177900.16</v>
      </c>
      <c r="H621" s="109">
        <f>F475</f>
        <v>177900.16000000015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190.25</v>
      </c>
      <c r="H622" s="109">
        <f>G475</f>
        <v>190.25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185988.71</v>
      </c>
      <c r="H625" s="109">
        <f>J475</f>
        <v>185988.70999999996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7767519.4500000002</v>
      </c>
      <c r="H626" s="104">
        <f>SUM(F467)</f>
        <v>7767519.4500000002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156501.44999999998</v>
      </c>
      <c r="H627" s="104">
        <f>SUM(G467)</f>
        <v>156501.45000000001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160703.45000000001</v>
      </c>
      <c r="H628" s="104">
        <f>SUM(H467)</f>
        <v>160703.45000000001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140452.54999999999</v>
      </c>
      <c r="H630" s="104">
        <f>SUM(J467)</f>
        <v>140452.54999999999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7774302.2400000012</v>
      </c>
      <c r="H631" s="104">
        <f>SUM(F471)</f>
        <v>7774302.2400000002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160703.44999999998</v>
      </c>
      <c r="H632" s="104">
        <f>SUM(H471)</f>
        <v>160703.45000000001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71304.87</v>
      </c>
      <c r="H633" s="104">
        <f>I368</f>
        <v>71304.87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156338.81</v>
      </c>
      <c r="H634" s="104">
        <f>SUM(G471)</f>
        <v>156338.81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140452.54999999999</v>
      </c>
      <c r="H636" s="164">
        <f>SUM(J467)</f>
        <v>140452.54999999999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121300</v>
      </c>
      <c r="H637" s="164">
        <f>SUM(J471)</f>
        <v>121300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185988.71</v>
      </c>
      <c r="H639" s="104">
        <f>SUM(G460)</f>
        <v>185988.71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185988.71</v>
      </c>
      <c r="H641" s="104">
        <f>SUM(I460)</f>
        <v>185988.71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452.55</v>
      </c>
      <c r="H643" s="104">
        <f>H407</f>
        <v>452.55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140000</v>
      </c>
      <c r="H644" s="104">
        <f>G407</f>
        <v>140000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140452.54999999999</v>
      </c>
      <c r="H645" s="104">
        <f>L407</f>
        <v>140452.54999999999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331879.13</v>
      </c>
      <c r="H646" s="104">
        <f>L207+L225+L243</f>
        <v>331879.13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79884.78</v>
      </c>
      <c r="H647" s="104">
        <f>(J256+J337)-(J254+J335)</f>
        <v>79884.78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331879.13</v>
      </c>
      <c r="H648" s="104">
        <f>H597</f>
        <v>331879.13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9996.2900000000009</v>
      </c>
      <c r="H651" s="104">
        <f>K262+K344</f>
        <v>9996.2900000000009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140000</v>
      </c>
      <c r="H654" s="104">
        <f>K265+K346</f>
        <v>140000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7941348.2100000009</v>
      </c>
      <c r="G659" s="19">
        <f>(L228+L308+L358)</f>
        <v>0</v>
      </c>
      <c r="H659" s="19">
        <f>(L246+L327+L359)</f>
        <v>0</v>
      </c>
      <c r="I659" s="19">
        <f>SUM(F659:H659)</f>
        <v>7941348.2100000009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106283.34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106283.34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331879.13</v>
      </c>
      <c r="G661" s="19">
        <f>(L225+L305)-(J225+J305)</f>
        <v>0</v>
      </c>
      <c r="H661" s="19">
        <f>(L243+L324)-(J243+J324)</f>
        <v>0</v>
      </c>
      <c r="I661" s="19">
        <f>SUM(F661:H661)</f>
        <v>331879.13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79884.78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79884.78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7423300.9600000009</v>
      </c>
      <c r="G663" s="19">
        <f>G659-SUM(G660:G662)</f>
        <v>0</v>
      </c>
      <c r="H663" s="19">
        <f>H659-SUM(H660:H662)</f>
        <v>0</v>
      </c>
      <c r="I663" s="19">
        <f>I659-SUM(I660:I662)</f>
        <v>7423300.9600000009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432.69</v>
      </c>
      <c r="G664" s="248"/>
      <c r="H664" s="248"/>
      <c r="I664" s="19">
        <f>SUM(F664:H664)</f>
        <v>432.69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17156.16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17156.16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17156.16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17156.16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2284844.14</v>
      </c>
      <c r="C9" s="229">
        <f>'DOE25'!G196+'DOE25'!G214+'DOE25'!G232+'DOE25'!G275+'DOE25'!G294+'DOE25'!G313</f>
        <v>975981.56</v>
      </c>
    </row>
    <row r="10" spans="1:3" x14ac:dyDescent="0.2">
      <c r="A10" t="s">
        <v>779</v>
      </c>
      <c r="B10" s="240">
        <f>30387.5+2158163.82</f>
        <v>2188551.3199999998</v>
      </c>
      <c r="C10" s="240">
        <f>3689.42+964567.65</f>
        <v>968257.07000000007</v>
      </c>
    </row>
    <row r="11" spans="1:3" x14ac:dyDescent="0.2">
      <c r="A11" t="s">
        <v>780</v>
      </c>
      <c r="B11" s="240">
        <v>7500</v>
      </c>
      <c r="C11" s="240">
        <v>607.5</v>
      </c>
    </row>
    <row r="12" spans="1:3" x14ac:dyDescent="0.2">
      <c r="A12" t="s">
        <v>781</v>
      </c>
      <c r="B12" s="240">
        <f>23946.5+64846.32</f>
        <v>88792.82</v>
      </c>
      <c r="C12" s="240">
        <f>2156.25+4960.74</f>
        <v>7116.99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2284844.1399999997</v>
      </c>
      <c r="C13" s="231">
        <f>SUM(C10:C12)</f>
        <v>975981.56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1193026.52</v>
      </c>
      <c r="C18" s="229">
        <f>'DOE25'!G197+'DOE25'!G215+'DOE25'!G233+'DOE25'!G276+'DOE25'!G295+'DOE25'!G314</f>
        <v>352491.92000000004</v>
      </c>
    </row>
    <row r="19" spans="1:3" x14ac:dyDescent="0.2">
      <c r="A19" t="s">
        <v>779</v>
      </c>
      <c r="B19" s="240">
        <f>47219.75+401946.27</f>
        <v>449166.02</v>
      </c>
      <c r="C19" s="240">
        <f>267.45+10692.73+142923.89</f>
        <v>153884.07</v>
      </c>
    </row>
    <row r="20" spans="1:3" x14ac:dyDescent="0.2">
      <c r="A20" t="s">
        <v>780</v>
      </c>
      <c r="B20" s="240">
        <f>432600.58+4945</f>
        <v>437545.58</v>
      </c>
      <c r="C20" s="240">
        <v>87315.83</v>
      </c>
    </row>
    <row r="21" spans="1:3" x14ac:dyDescent="0.2">
      <c r="A21" t="s">
        <v>781</v>
      </c>
      <c r="B21" s="240">
        <f>22747.5+87918.55+147564.02+28824.85+19260</f>
        <v>306314.92</v>
      </c>
      <c r="C21" s="240">
        <f>2004.03+27711.17+72755.51+7159.17+1662.14</f>
        <v>111292.01999999999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1193026.52</v>
      </c>
      <c r="C22" s="231">
        <f>SUM(C19:C21)</f>
        <v>352491.92000000004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36740</v>
      </c>
      <c r="C36" s="235">
        <f>'DOE25'!G199+'DOE25'!G217+'DOE25'!G235+'DOE25'!G278+'DOE25'!G297+'DOE25'!G316</f>
        <v>2844.42</v>
      </c>
    </row>
    <row r="37" spans="1:3" x14ac:dyDescent="0.2">
      <c r="A37" t="s">
        <v>779</v>
      </c>
      <c r="B37" s="240">
        <v>4275</v>
      </c>
      <c r="C37" s="240">
        <v>360.85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32465</v>
      </c>
      <c r="C39" s="240">
        <v>2483.5700000000002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36740</v>
      </c>
      <c r="C40" s="231">
        <f>SUM(C37:C39)</f>
        <v>2844.42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 HAMPTON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4959081.78</v>
      </c>
      <c r="D5" s="20">
        <f>SUM('DOE25'!L196:L199)+SUM('DOE25'!L214:L217)+SUM('DOE25'!L232:L235)-F5-G5</f>
        <v>4900337.0100000007</v>
      </c>
      <c r="E5" s="243"/>
      <c r="F5" s="255">
        <f>SUM('DOE25'!J196:J199)+SUM('DOE25'!J214:J217)+SUM('DOE25'!J232:J235)</f>
        <v>4191.3099999999995</v>
      </c>
      <c r="G5" s="53">
        <f>SUM('DOE25'!K196:K199)+SUM('DOE25'!K214:K217)+SUM('DOE25'!K232:K235)</f>
        <v>54553.46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548161.99</v>
      </c>
      <c r="D6" s="20">
        <f>'DOE25'!L201+'DOE25'!L219+'DOE25'!L237-F6-G6</f>
        <v>547768.30000000005</v>
      </c>
      <c r="E6" s="243"/>
      <c r="F6" s="255">
        <f>'DOE25'!J201+'DOE25'!J219+'DOE25'!J237</f>
        <v>393.69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546816.28</v>
      </c>
      <c r="D7" s="20">
        <f>'DOE25'!L202+'DOE25'!L220+'DOE25'!L238-F7-G7</f>
        <v>486021.60000000003</v>
      </c>
      <c r="E7" s="243"/>
      <c r="F7" s="255">
        <f>'DOE25'!J202+'DOE25'!J220+'DOE25'!J238</f>
        <v>59285.88</v>
      </c>
      <c r="G7" s="53">
        <f>'DOE25'!K202+'DOE25'!K220+'DOE25'!K238</f>
        <v>1508.8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137168.04999999999</v>
      </c>
      <c r="D8" s="243"/>
      <c r="E8" s="20">
        <f>'DOE25'!L203+'DOE25'!L221+'DOE25'!L239-F8-G8-D9-D11</f>
        <v>110900.07999999999</v>
      </c>
      <c r="F8" s="255">
        <f>'DOE25'!J203+'DOE25'!J221+'DOE25'!J239</f>
        <v>0</v>
      </c>
      <c r="G8" s="53">
        <f>'DOE25'!K203+'DOE25'!K221+'DOE25'!K239</f>
        <v>26267.97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52707.28</v>
      </c>
      <c r="D9" s="244">
        <v>52707.28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9421</v>
      </c>
      <c r="D10" s="243"/>
      <c r="E10" s="244">
        <v>9421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62536.32</v>
      </c>
      <c r="D11" s="244">
        <v>62536.32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411285.22000000003</v>
      </c>
      <c r="D12" s="20">
        <f>'DOE25'!L204+'DOE25'!L222+'DOE25'!L240-F12-G12</f>
        <v>410297.22000000003</v>
      </c>
      <c r="E12" s="243"/>
      <c r="F12" s="255">
        <f>'DOE25'!J204+'DOE25'!J222+'DOE25'!J240</f>
        <v>0</v>
      </c>
      <c r="G12" s="53">
        <f>'DOE25'!K204+'DOE25'!K222+'DOE25'!K240</f>
        <v>988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573999.65</v>
      </c>
      <c r="D14" s="20">
        <f>'DOE25'!L206+'DOE25'!L224+'DOE25'!L242-F14-G14</f>
        <v>557985.75</v>
      </c>
      <c r="E14" s="243"/>
      <c r="F14" s="255">
        <f>'DOE25'!J206+'DOE25'!J224+'DOE25'!J242</f>
        <v>16013.9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331879.13</v>
      </c>
      <c r="D15" s="20">
        <f>'DOE25'!L207+'DOE25'!L225+'DOE25'!L243-F15-G15</f>
        <v>331879.13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670.25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670.25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89355.99</v>
      </c>
      <c r="D29" s="20">
        <f>'DOE25'!L357+'DOE25'!L358+'DOE25'!L359-'DOE25'!I366-F29-G29</f>
        <v>88180.930000000008</v>
      </c>
      <c r="E29" s="243"/>
      <c r="F29" s="255">
        <f>'DOE25'!J357+'DOE25'!J358+'DOE25'!J359</f>
        <v>633.15</v>
      </c>
      <c r="G29" s="53">
        <f>'DOE25'!K357+'DOE25'!K358+'DOE25'!K359</f>
        <v>541.91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160703.44999999998</v>
      </c>
      <c r="D31" s="20">
        <f>'DOE25'!L289+'DOE25'!L308+'DOE25'!L327+'DOE25'!L332+'DOE25'!L333+'DOE25'!L334-F31-G31</f>
        <v>158648.90999999997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2054.54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7596362.4500000002</v>
      </c>
      <c r="E33" s="246">
        <f>SUM(E5:E31)</f>
        <v>120321.07999999999</v>
      </c>
      <c r="F33" s="246">
        <f>SUM(F5:F31)</f>
        <v>80517.929999999993</v>
      </c>
      <c r="G33" s="246">
        <f>SUM(G5:G31)</f>
        <v>86584.930000000008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120321.07999999999</v>
      </c>
      <c r="E35" s="249"/>
    </row>
    <row r="36" spans="2:8" ht="12" thickTop="1" x14ac:dyDescent="0.2">
      <c r="B36" t="s">
        <v>815</v>
      </c>
      <c r="D36" s="20">
        <f>D33</f>
        <v>7596362.4500000002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207673.28999999998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185988.71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18979.66</v>
      </c>
      <c r="D11" s="95">
        <f>'DOE25'!G12</f>
        <v>1826.07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1425.89</v>
      </c>
      <c r="D12" s="95">
        <f>'DOE25'!G13</f>
        <v>1681.06</v>
      </c>
      <c r="E12" s="95">
        <f>'DOE25'!H13</f>
        <v>17153.59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3524.71</v>
      </c>
      <c r="D13" s="95">
        <f>'DOE25'!G14</f>
        <v>173.2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231603.55</v>
      </c>
      <c r="D18" s="41">
        <f>SUM(D8:D17)</f>
        <v>3680.33</v>
      </c>
      <c r="E18" s="41">
        <f>SUM(E8:E17)</f>
        <v>17153.59</v>
      </c>
      <c r="F18" s="41">
        <f>SUM(F8:F17)</f>
        <v>0</v>
      </c>
      <c r="G18" s="41">
        <f>SUM(G8:G17)</f>
        <v>185988.71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17153.59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25176.25</v>
      </c>
      <c r="D23" s="95">
        <f>'DOE25'!G24</f>
        <v>575.98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28527.14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2914.1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53703.39</v>
      </c>
      <c r="D31" s="41">
        <f>SUM(D21:D30)</f>
        <v>3490.08</v>
      </c>
      <c r="E31" s="41">
        <f>SUM(E21:E30)</f>
        <v>17153.59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190.25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17969.23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185988.71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9085.18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55845.75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177900.16</v>
      </c>
      <c r="D49" s="41">
        <f>SUM(D34:D48)</f>
        <v>190.25</v>
      </c>
      <c r="E49" s="41">
        <f>SUM(E34:E48)</f>
        <v>0</v>
      </c>
      <c r="F49" s="41">
        <f>SUM(F34:F48)</f>
        <v>0</v>
      </c>
      <c r="G49" s="41">
        <f>SUM(G34:G48)</f>
        <v>185988.71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231603.55</v>
      </c>
      <c r="D50" s="41">
        <f>D49+D31</f>
        <v>3680.33</v>
      </c>
      <c r="E50" s="41">
        <f>E49+E31</f>
        <v>17153.59</v>
      </c>
      <c r="F50" s="41">
        <f>F49+F31</f>
        <v>0</v>
      </c>
      <c r="G50" s="41">
        <f>G49+G31</f>
        <v>185988.71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5823677.9900000002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6787.5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1029.1600000000001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452.55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106283.34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28083.160000000003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35899.820000000007</v>
      </c>
      <c r="D61" s="130">
        <f>SUM(D56:D60)</f>
        <v>106283.34</v>
      </c>
      <c r="E61" s="130">
        <f>SUM(E56:E60)</f>
        <v>0</v>
      </c>
      <c r="F61" s="130">
        <f>SUM(F56:F60)</f>
        <v>0</v>
      </c>
      <c r="G61" s="130">
        <f>SUM(G56:G60)</f>
        <v>452.55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5859577.8100000005</v>
      </c>
      <c r="D62" s="22">
        <f>D55+D61</f>
        <v>106283.34</v>
      </c>
      <c r="E62" s="22">
        <f>E55+E61</f>
        <v>0</v>
      </c>
      <c r="F62" s="22">
        <f>F55+F61</f>
        <v>0</v>
      </c>
      <c r="G62" s="22">
        <f>G55+G61</f>
        <v>452.55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166489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1707726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1874215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1863.95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1863.95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1874215</v>
      </c>
      <c r="D80" s="130">
        <f>SUM(D78:D79)+D77+D69</f>
        <v>1863.95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33726.639999999999</v>
      </c>
      <c r="D87" s="95">
        <f>SUM('DOE25'!G152:G160)</f>
        <v>38357.869999999995</v>
      </c>
      <c r="E87" s="95">
        <f>SUM('DOE25'!H152:H160)</f>
        <v>160703.45000000001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33726.639999999999</v>
      </c>
      <c r="D90" s="131">
        <f>SUM(D84:D89)</f>
        <v>38357.869999999995</v>
      </c>
      <c r="E90" s="131">
        <f>SUM(E84:E89)</f>
        <v>160703.45000000001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9996.2900000000009</v>
      </c>
      <c r="E95" s="95">
        <f>'DOE25'!H178</f>
        <v>0</v>
      </c>
      <c r="F95" s="95">
        <f>'DOE25'!I178</f>
        <v>0</v>
      </c>
      <c r="G95" s="95">
        <f>'DOE25'!J178</f>
        <v>140000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9996.2900000000009</v>
      </c>
      <c r="E102" s="86">
        <f>SUM(E92:E101)</f>
        <v>0</v>
      </c>
      <c r="F102" s="86">
        <f>SUM(F92:F101)</f>
        <v>0</v>
      </c>
      <c r="G102" s="86">
        <f>SUM(G92:G101)</f>
        <v>140000</v>
      </c>
    </row>
    <row r="103" spans="1:7" ht="12.75" thickTop="1" thickBot="1" x14ac:dyDescent="0.25">
      <c r="A103" s="33" t="s">
        <v>765</v>
      </c>
      <c r="C103" s="86">
        <f>C62+C80+C90+C102</f>
        <v>7767519.4500000002</v>
      </c>
      <c r="D103" s="86">
        <f>D62+D80+D90+D102</f>
        <v>156501.44999999998</v>
      </c>
      <c r="E103" s="86">
        <f>E62+E80+E90+E102</f>
        <v>160703.45000000001</v>
      </c>
      <c r="F103" s="86">
        <f>F62+F80+F90+F102</f>
        <v>0</v>
      </c>
      <c r="G103" s="86">
        <f>G62+G80+G102</f>
        <v>140452.54999999999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3295257.5500000003</v>
      </c>
      <c r="D108" s="24" t="s">
        <v>289</v>
      </c>
      <c r="E108" s="95">
        <f>('DOE25'!L275)+('DOE25'!L294)+('DOE25'!L313)</f>
        <v>62431.02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1560946.79</v>
      </c>
      <c r="D109" s="24" t="s">
        <v>289</v>
      </c>
      <c r="E109" s="95">
        <f>('DOE25'!L276)+('DOE25'!L295)+('DOE25'!L314)</f>
        <v>91481.459999999992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102877.44</v>
      </c>
      <c r="D111" s="24" t="s">
        <v>289</v>
      </c>
      <c r="E111" s="95">
        <f>+('DOE25'!L278)+('DOE25'!L297)+('DOE25'!L316)</f>
        <v>4736.43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4959081.78</v>
      </c>
      <c r="D114" s="86">
        <f>SUM(D108:D113)</f>
        <v>0</v>
      </c>
      <c r="E114" s="86">
        <f>SUM(E108:E113)</f>
        <v>158648.90999999997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548161.99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546816.28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252411.65</v>
      </c>
      <c r="D119" s="24" t="s">
        <v>289</v>
      </c>
      <c r="E119" s="95">
        <f>+('DOE25'!L282)+('DOE25'!L301)+('DOE25'!L320)</f>
        <v>2054.54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411285.22000000003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573999.65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331879.13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670.25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156338.81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2665224.17</v>
      </c>
      <c r="D127" s="86">
        <f>SUM(D117:D126)</f>
        <v>156338.81</v>
      </c>
      <c r="E127" s="86">
        <f>SUM(E117:E126)</f>
        <v>2054.54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9996.2900000000009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22.87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140429.68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-452.54999999998836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149996.29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7774302.2400000002</v>
      </c>
      <c r="D144" s="86">
        <f>(D114+D127+D143)</f>
        <v>156338.81</v>
      </c>
      <c r="E144" s="86">
        <f>(E114+E127+E143)</f>
        <v>160703.44999999998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 HAMPTON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17156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17156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3357689</v>
      </c>
      <c r="D10" s="182">
        <f>ROUND((C10/$C$28)*100,1)</f>
        <v>42.9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1652428</v>
      </c>
      <c r="D11" s="182">
        <f>ROUND((C11/$C$28)*100,1)</f>
        <v>21.1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107614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548162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546816</v>
      </c>
      <c r="D16" s="182">
        <f t="shared" si="0"/>
        <v>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255136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411285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574000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331879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50055.66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7835064.6600000001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7835064.6600000001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5823678</v>
      </c>
      <c r="D35" s="182">
        <f t="shared" ref="D35:D40" si="1">ROUND((C35/$C$41)*100,1)</f>
        <v>73.099999999999994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36352.360000000335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1874215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1864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232788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7968897.3600000003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NORTH HAMPTON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2013-08-27T17:18:16Z</cp:lastPrinted>
  <dcterms:created xsi:type="dcterms:W3CDTF">1997-12-04T19:04:30Z</dcterms:created>
  <dcterms:modified xsi:type="dcterms:W3CDTF">2013-08-27T17:18:49Z</dcterms:modified>
</cp:coreProperties>
</file>