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2" i="11" l="1"/>
  <c r="B2" i="10"/>
  <c r="C5" i="10"/>
  <c r="C37" i="10"/>
  <c r="C40" i="10"/>
  <c r="C42" i="10"/>
  <c r="A1" i="2"/>
  <c r="A2" i="2"/>
  <c r="D8" i="2"/>
  <c r="E8" i="2"/>
  <c r="F8" i="2"/>
  <c r="C9" i="2"/>
  <c r="D9" i="2"/>
  <c r="E9" i="2"/>
  <c r="F9" i="2"/>
  <c r="C10" i="2"/>
  <c r="C11" i="2"/>
  <c r="D11" i="2"/>
  <c r="E11" i="2"/>
  <c r="F11" i="2"/>
  <c r="C12" i="2"/>
  <c r="D12" i="2"/>
  <c r="D18" i="2" s="1"/>
  <c r="E12" i="2"/>
  <c r="F12" i="2"/>
  <c r="F18" i="2" s="1"/>
  <c r="D13" i="2"/>
  <c r="E13" i="2"/>
  <c r="F13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E18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F25" i="2"/>
  <c r="C26" i="2"/>
  <c r="F26" i="2"/>
  <c r="C27" i="2"/>
  <c r="D27" i="2"/>
  <c r="D31" i="2" s="1"/>
  <c r="D50" i="2" s="1"/>
  <c r="E27" i="2"/>
  <c r="F27" i="2"/>
  <c r="F31" i="2" s="1"/>
  <c r="F50" i="2" s="1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E31" i="2"/>
  <c r="C34" i="2"/>
  <c r="D34" i="2"/>
  <c r="E34" i="2"/>
  <c r="F34" i="2"/>
  <c r="C35" i="2"/>
  <c r="D35" i="2"/>
  <c r="E35" i="2"/>
  <c r="F35" i="2"/>
  <c r="C36" i="2"/>
  <c r="D36" i="2"/>
  <c r="E36" i="2"/>
  <c r="F36" i="2"/>
  <c r="C38" i="2"/>
  <c r="D38" i="2"/>
  <c r="E38" i="2"/>
  <c r="F38" i="2"/>
  <c r="D39" i="2"/>
  <c r="F40" i="2"/>
  <c r="C42" i="2"/>
  <c r="D42" i="2"/>
  <c r="E42" i="2"/>
  <c r="F42" i="2"/>
  <c r="C43" i="2"/>
  <c r="D43" i="2"/>
  <c r="E43" i="2"/>
  <c r="F43" i="2"/>
  <c r="C44" i="2"/>
  <c r="D44" i="2"/>
  <c r="E44" i="2"/>
  <c r="F44" i="2"/>
  <c r="C46" i="2"/>
  <c r="C49" i="2" s="1"/>
  <c r="C50" i="2" s="1"/>
  <c r="D46" i="2"/>
  <c r="E46" i="2"/>
  <c r="E49" i="2" s="1"/>
  <c r="E50" i="2" s="1"/>
  <c r="F46" i="2"/>
  <c r="C47" i="2"/>
  <c r="D47" i="2"/>
  <c r="E47" i="2"/>
  <c r="F47" i="2"/>
  <c r="C48" i="2"/>
  <c r="D49" i="2"/>
  <c r="F49" i="2"/>
  <c r="C58" i="2"/>
  <c r="D58" i="2"/>
  <c r="E58" i="2"/>
  <c r="F58" i="2"/>
  <c r="G58" i="2"/>
  <c r="D59" i="2"/>
  <c r="C60" i="2"/>
  <c r="D60" i="2"/>
  <c r="E60" i="2"/>
  <c r="F60" i="2"/>
  <c r="G60" i="2"/>
  <c r="D61" i="2"/>
  <c r="F61" i="2"/>
  <c r="G61" i="2"/>
  <c r="C65" i="2"/>
  <c r="C66" i="2"/>
  <c r="C67" i="2"/>
  <c r="C68" i="2"/>
  <c r="D68" i="2"/>
  <c r="D69" i="2" s="1"/>
  <c r="D80" i="2" s="1"/>
  <c r="E68" i="2"/>
  <c r="F68" i="2"/>
  <c r="F69" i="2" s="1"/>
  <c r="F80" i="2" s="1"/>
  <c r="G68" i="2"/>
  <c r="C69" i="2"/>
  <c r="E69" i="2"/>
  <c r="G69" i="2"/>
  <c r="C71" i="2"/>
  <c r="F71" i="2"/>
  <c r="C72" i="2"/>
  <c r="F72" i="2"/>
  <c r="C73" i="2"/>
  <c r="C74" i="2"/>
  <c r="C75" i="2"/>
  <c r="E75" i="2"/>
  <c r="F75" i="2"/>
  <c r="C76" i="2"/>
  <c r="C77" i="2" s="1"/>
  <c r="C80" i="2" s="1"/>
  <c r="D76" i="2"/>
  <c r="E76" i="2"/>
  <c r="E77" i="2" s="1"/>
  <c r="E80" i="2" s="1"/>
  <c r="F76" i="2"/>
  <c r="G76" i="2"/>
  <c r="G77" i="2" s="1"/>
  <c r="G80" i="2" s="1"/>
  <c r="D77" i="2"/>
  <c r="F77" i="2"/>
  <c r="C78" i="2"/>
  <c r="D78" i="2"/>
  <c r="E78" i="2"/>
  <c r="C79" i="2"/>
  <c r="E79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G102" i="2"/>
  <c r="D114" i="2"/>
  <c r="F114" i="2"/>
  <c r="G114" i="2"/>
  <c r="F127" i="2"/>
  <c r="G127" i="2"/>
  <c r="D133" i="2"/>
  <c r="F133" i="2"/>
  <c r="D143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G155" i="2"/>
  <c r="B156" i="2"/>
  <c r="C156" i="2"/>
  <c r="D156" i="2"/>
  <c r="E156" i="2"/>
  <c r="F156" i="2"/>
  <c r="G156" i="2"/>
  <c r="B157" i="2"/>
  <c r="C157" i="2"/>
  <c r="D157" i="2"/>
  <c r="E157" i="2"/>
  <c r="F157" i="2"/>
  <c r="G157" i="2"/>
  <c r="B158" i="2"/>
  <c r="C158" i="2"/>
  <c r="D158" i="2"/>
  <c r="E158" i="2"/>
  <c r="F158" i="2"/>
  <c r="G158" i="2"/>
  <c r="B159" i="2"/>
  <c r="C159" i="2"/>
  <c r="D159" i="2"/>
  <c r="E159" i="2"/>
  <c r="F159" i="2"/>
  <c r="G159" i="2"/>
  <c r="B161" i="2"/>
  <c r="C161" i="2"/>
  <c r="D161" i="2"/>
  <c r="E161" i="2"/>
  <c r="F161" i="2"/>
  <c r="G161" i="2"/>
  <c r="B162" i="2"/>
  <c r="C162" i="2"/>
  <c r="D162" i="2"/>
  <c r="E162" i="2"/>
  <c r="F162" i="2"/>
  <c r="G162" i="2"/>
  <c r="B2" i="13"/>
  <c r="G7" i="13"/>
  <c r="F8" i="13"/>
  <c r="C9" i="13"/>
  <c r="C10" i="13"/>
  <c r="C11" i="13"/>
  <c r="F13" i="13"/>
  <c r="G13" i="13"/>
  <c r="F14" i="13"/>
  <c r="G14" i="13"/>
  <c r="F15" i="13"/>
  <c r="G15" i="13"/>
  <c r="F16" i="13"/>
  <c r="G16" i="13"/>
  <c r="F17" i="13"/>
  <c r="G17" i="13"/>
  <c r="F18" i="13"/>
  <c r="G18" i="13"/>
  <c r="F19" i="13"/>
  <c r="G19" i="13"/>
  <c r="F29" i="13"/>
  <c r="G29" i="13"/>
  <c r="D39" i="13"/>
  <c r="B1" i="12"/>
  <c r="B4" i="12"/>
  <c r="B13" i="12"/>
  <c r="C13" i="12"/>
  <c r="B22" i="12"/>
  <c r="C22" i="12"/>
  <c r="B27" i="12"/>
  <c r="C27" i="12"/>
  <c r="B31" i="12"/>
  <c r="A31" i="12" s="1"/>
  <c r="C31" i="12"/>
  <c r="B40" i="12"/>
  <c r="C40" i="12"/>
  <c r="F9" i="1"/>
  <c r="C8" i="2" s="1"/>
  <c r="F14" i="1"/>
  <c r="C13" i="2" s="1"/>
  <c r="F19" i="1"/>
  <c r="G19" i="1"/>
  <c r="H19" i="1"/>
  <c r="I19" i="1"/>
  <c r="F32" i="1"/>
  <c r="G32" i="1"/>
  <c r="H32" i="1"/>
  <c r="I32" i="1"/>
  <c r="F50" i="1"/>
  <c r="G50" i="1"/>
  <c r="H50" i="1"/>
  <c r="I50" i="1"/>
  <c r="F51" i="1"/>
  <c r="G51" i="1"/>
  <c r="H51" i="1"/>
  <c r="I51" i="1"/>
  <c r="F59" i="1"/>
  <c r="G59" i="1"/>
  <c r="D55" i="2" s="1"/>
  <c r="D62" i="2" s="1"/>
  <c r="H59" i="1"/>
  <c r="E55" i="2" s="1"/>
  <c r="I59" i="1"/>
  <c r="F55" i="2" s="1"/>
  <c r="F62" i="2" s="1"/>
  <c r="J59" i="1"/>
  <c r="G55" i="2" s="1"/>
  <c r="G62" i="2" s="1"/>
  <c r="G103" i="2" s="1"/>
  <c r="F78" i="1"/>
  <c r="C56" i="2" s="1"/>
  <c r="H78" i="1"/>
  <c r="E56" i="2" s="1"/>
  <c r="F93" i="1"/>
  <c r="C57" i="2" s="1"/>
  <c r="H93" i="1"/>
  <c r="E57" i="2" s="1"/>
  <c r="F110" i="1"/>
  <c r="G110" i="1"/>
  <c r="H110" i="1"/>
  <c r="I110" i="1"/>
  <c r="J110" i="1"/>
  <c r="J111" i="1" s="1"/>
  <c r="F111" i="1"/>
  <c r="G111" i="1"/>
  <c r="H111" i="1"/>
  <c r="I111" i="1"/>
  <c r="F120" i="1"/>
  <c r="G120" i="1"/>
  <c r="H120" i="1"/>
  <c r="I120" i="1"/>
  <c r="J120" i="1"/>
  <c r="F135" i="1"/>
  <c r="G135" i="1"/>
  <c r="H135" i="1"/>
  <c r="I135" i="1"/>
  <c r="J135" i="1"/>
  <c r="F139" i="1"/>
  <c r="G139" i="1"/>
  <c r="H139" i="1"/>
  <c r="I139" i="1"/>
  <c r="J139" i="1"/>
  <c r="F146" i="1"/>
  <c r="C84" i="2" s="1"/>
  <c r="C90" i="2" s="1"/>
  <c r="G146" i="1"/>
  <c r="D84" i="2" s="1"/>
  <c r="D90" i="2" s="1"/>
  <c r="H146" i="1"/>
  <c r="E84" i="2" s="1"/>
  <c r="E90" i="2" s="1"/>
  <c r="I146" i="1"/>
  <c r="F84" i="2" s="1"/>
  <c r="F90" i="2" s="1"/>
  <c r="F161" i="1"/>
  <c r="G161" i="1"/>
  <c r="H161" i="1"/>
  <c r="I161" i="1"/>
  <c r="F168" i="1"/>
  <c r="G168" i="1"/>
  <c r="H168" i="1"/>
  <c r="I168" i="1"/>
  <c r="F176" i="1"/>
  <c r="I176" i="1"/>
  <c r="F182" i="1"/>
  <c r="G182" i="1"/>
  <c r="H182" i="1"/>
  <c r="I182" i="1"/>
  <c r="J182" i="1"/>
  <c r="F187" i="1"/>
  <c r="G187" i="1"/>
  <c r="H187" i="1"/>
  <c r="I187" i="1"/>
  <c r="F191" i="1"/>
  <c r="G191" i="1"/>
  <c r="H191" i="1"/>
  <c r="I191" i="1"/>
  <c r="J191" i="1"/>
  <c r="F192" i="1"/>
  <c r="G192" i="1"/>
  <c r="H192" i="1"/>
  <c r="I192" i="1"/>
  <c r="F196" i="1"/>
  <c r="B9" i="12" s="1"/>
  <c r="A13" i="12" s="1"/>
  <c r="G196" i="1"/>
  <c r="C9" i="12" s="1"/>
  <c r="H196" i="1"/>
  <c r="I196" i="1"/>
  <c r="L196" i="1" s="1"/>
  <c r="J196" i="1"/>
  <c r="F5" i="13" s="1"/>
  <c r="K196" i="1"/>
  <c r="G5" i="13" s="1"/>
  <c r="F197" i="1"/>
  <c r="B18" i="12" s="1"/>
  <c r="A22" i="12" s="1"/>
  <c r="G197" i="1"/>
  <c r="C18" i="12" s="1"/>
  <c r="H197" i="1"/>
  <c r="I197" i="1"/>
  <c r="L197" i="1"/>
  <c r="L198" i="1"/>
  <c r="F199" i="1"/>
  <c r="B36" i="12" s="1"/>
  <c r="A40" i="12" s="1"/>
  <c r="G199" i="1"/>
  <c r="C36" i="12" s="1"/>
  <c r="H199" i="1"/>
  <c r="I199" i="1"/>
  <c r="J199" i="1"/>
  <c r="K199" i="1"/>
  <c r="L199" i="1"/>
  <c r="F201" i="1"/>
  <c r="G201" i="1"/>
  <c r="L201" i="1" s="1"/>
  <c r="H201" i="1"/>
  <c r="I201" i="1"/>
  <c r="J201" i="1"/>
  <c r="F6" i="13" s="1"/>
  <c r="K201" i="1"/>
  <c r="G6" i="13" s="1"/>
  <c r="F202" i="1"/>
  <c r="G202" i="1"/>
  <c r="H202" i="1"/>
  <c r="I202" i="1"/>
  <c r="L202" i="1"/>
  <c r="F203" i="1"/>
  <c r="G203" i="1"/>
  <c r="L203" i="1" s="1"/>
  <c r="H203" i="1"/>
  <c r="K203" i="1"/>
  <c r="G8" i="13" s="1"/>
  <c r="F204" i="1"/>
  <c r="G204" i="1"/>
  <c r="H204" i="1"/>
  <c r="I204" i="1"/>
  <c r="J204" i="1"/>
  <c r="F12" i="13" s="1"/>
  <c r="K204" i="1"/>
  <c r="G12" i="13" s="1"/>
  <c r="L205" i="1"/>
  <c r="F206" i="1"/>
  <c r="G206" i="1"/>
  <c r="H206" i="1"/>
  <c r="I206" i="1"/>
  <c r="L206" i="1" s="1"/>
  <c r="H207" i="1"/>
  <c r="L207" i="1" s="1"/>
  <c r="L208" i="1"/>
  <c r="F210" i="1"/>
  <c r="G210" i="1"/>
  <c r="H210" i="1"/>
  <c r="I210" i="1"/>
  <c r="J210" i="1"/>
  <c r="K210" i="1"/>
  <c r="L214" i="1"/>
  <c r="L215" i="1"/>
  <c r="L216" i="1"/>
  <c r="L217" i="1"/>
  <c r="L219" i="1"/>
  <c r="L220" i="1"/>
  <c r="L221" i="1"/>
  <c r="L222" i="1"/>
  <c r="L223" i="1"/>
  <c r="L224" i="1"/>
  <c r="L225" i="1"/>
  <c r="L226" i="1"/>
  <c r="F228" i="1"/>
  <c r="G228" i="1"/>
  <c r="H228" i="1"/>
  <c r="I228" i="1"/>
  <c r="J228" i="1"/>
  <c r="K228" i="1"/>
  <c r="L228" i="1"/>
  <c r="F232" i="1"/>
  <c r="G232" i="1"/>
  <c r="H232" i="1"/>
  <c r="I232" i="1"/>
  <c r="L232" i="1" s="1"/>
  <c r="J232" i="1"/>
  <c r="K232" i="1"/>
  <c r="F233" i="1"/>
  <c r="G233" i="1"/>
  <c r="H233" i="1"/>
  <c r="I233" i="1"/>
  <c r="L233" i="1"/>
  <c r="L234" i="1"/>
  <c r="F235" i="1"/>
  <c r="L235" i="1" s="1"/>
  <c r="G235" i="1"/>
  <c r="H235" i="1"/>
  <c r="I235" i="1"/>
  <c r="K235" i="1"/>
  <c r="F237" i="1"/>
  <c r="L237" i="1" s="1"/>
  <c r="G237" i="1"/>
  <c r="H237" i="1"/>
  <c r="I237" i="1"/>
  <c r="J237" i="1"/>
  <c r="F238" i="1"/>
  <c r="L238" i="1" s="1"/>
  <c r="G238" i="1"/>
  <c r="H238" i="1"/>
  <c r="I238" i="1"/>
  <c r="J238" i="1"/>
  <c r="F7" i="13" s="1"/>
  <c r="F239" i="1"/>
  <c r="G239" i="1"/>
  <c r="H239" i="1"/>
  <c r="K239" i="1"/>
  <c r="L239" i="1"/>
  <c r="F240" i="1"/>
  <c r="G240" i="1"/>
  <c r="L240" i="1" s="1"/>
  <c r="H240" i="1"/>
  <c r="I240" i="1"/>
  <c r="J240" i="1"/>
  <c r="K240" i="1"/>
  <c r="L241" i="1"/>
  <c r="F242" i="1"/>
  <c r="G242" i="1"/>
  <c r="L242" i="1" s="1"/>
  <c r="H242" i="1"/>
  <c r="I242" i="1"/>
  <c r="H243" i="1"/>
  <c r="L243" i="1" s="1"/>
  <c r="L244" i="1"/>
  <c r="F246" i="1"/>
  <c r="G246" i="1"/>
  <c r="H246" i="1"/>
  <c r="I246" i="1"/>
  <c r="J246" i="1"/>
  <c r="K246" i="1"/>
  <c r="L249" i="1"/>
  <c r="L250" i="1"/>
  <c r="L251" i="1"/>
  <c r="D18" i="13" s="1"/>
  <c r="C18" i="13" s="1"/>
  <c r="L252" i="1"/>
  <c r="D19" i="13" s="1"/>
  <c r="C19" i="13" s="1"/>
  <c r="L253" i="1"/>
  <c r="L254" i="1"/>
  <c r="F255" i="1"/>
  <c r="G255" i="1"/>
  <c r="H255" i="1"/>
  <c r="I255" i="1"/>
  <c r="J255" i="1"/>
  <c r="K255" i="1"/>
  <c r="L255" i="1"/>
  <c r="F256" i="1"/>
  <c r="G256" i="1"/>
  <c r="H256" i="1"/>
  <c r="I256" i="1"/>
  <c r="J256" i="1"/>
  <c r="K256" i="1"/>
  <c r="L259" i="1"/>
  <c r="L260" i="1"/>
  <c r="L262" i="1"/>
  <c r="C134" i="2" s="1"/>
  <c r="L263" i="1"/>
  <c r="C135" i="2" s="1"/>
  <c r="L264" i="1"/>
  <c r="C136" i="2" s="1"/>
  <c r="L265" i="1"/>
  <c r="L267" i="1"/>
  <c r="L268" i="1"/>
  <c r="C142" i="2" s="1"/>
  <c r="F269" i="1"/>
  <c r="F270" i="1" s="1"/>
  <c r="G269" i="1"/>
  <c r="H269" i="1"/>
  <c r="H270" i="1" s="1"/>
  <c r="I269" i="1"/>
  <c r="J269" i="1"/>
  <c r="J270" i="1" s="1"/>
  <c r="K269" i="1"/>
  <c r="L269" i="1"/>
  <c r="G270" i="1"/>
  <c r="I270" i="1"/>
  <c r="K270" i="1"/>
  <c r="F275" i="1"/>
  <c r="L275" i="1" s="1"/>
  <c r="G275" i="1"/>
  <c r="H275" i="1"/>
  <c r="I275" i="1"/>
  <c r="J275" i="1"/>
  <c r="L276" i="1"/>
  <c r="L277" i="1"/>
  <c r="L278" i="1"/>
  <c r="L280" i="1"/>
  <c r="L281" i="1"/>
  <c r="L282" i="1"/>
  <c r="L283" i="1"/>
  <c r="L284" i="1"/>
  <c r="L285" i="1"/>
  <c r="L286" i="1"/>
  <c r="L287" i="1"/>
  <c r="F289" i="1"/>
  <c r="G289" i="1"/>
  <c r="H289" i="1"/>
  <c r="I289" i="1"/>
  <c r="J289" i="1"/>
  <c r="F31" i="13" s="1"/>
  <c r="K289" i="1"/>
  <c r="G31" i="13" s="1"/>
  <c r="L294" i="1"/>
  <c r="L295" i="1"/>
  <c r="L296" i="1"/>
  <c r="L297" i="1"/>
  <c r="L299" i="1"/>
  <c r="L300" i="1"/>
  <c r="L301" i="1"/>
  <c r="L302" i="1"/>
  <c r="L303" i="1"/>
  <c r="L304" i="1"/>
  <c r="L305" i="1"/>
  <c r="L306" i="1"/>
  <c r="F308" i="1"/>
  <c r="G308" i="1"/>
  <c r="H308" i="1"/>
  <c r="I308" i="1"/>
  <c r="J308" i="1"/>
  <c r="K308" i="1"/>
  <c r="L308" i="1"/>
  <c r="F313" i="1"/>
  <c r="G313" i="1"/>
  <c r="H313" i="1"/>
  <c r="L313" i="1"/>
  <c r="G314" i="1"/>
  <c r="L314" i="1"/>
  <c r="L315" i="1"/>
  <c r="L316" i="1"/>
  <c r="L318" i="1"/>
  <c r="L319" i="1"/>
  <c r="L327" i="1" s="1"/>
  <c r="L320" i="1"/>
  <c r="L321" i="1"/>
  <c r="L322" i="1"/>
  <c r="L323" i="1"/>
  <c r="L324" i="1"/>
  <c r="L325" i="1"/>
  <c r="F327" i="1"/>
  <c r="G327" i="1"/>
  <c r="H327" i="1"/>
  <c r="I327" i="1"/>
  <c r="J327" i="1"/>
  <c r="K327" i="1"/>
  <c r="L331" i="1"/>
  <c r="E112" i="2" s="1"/>
  <c r="F332" i="1"/>
  <c r="G332" i="1"/>
  <c r="G336" i="1" s="1"/>
  <c r="I332" i="1"/>
  <c r="L332" i="1"/>
  <c r="L333" i="1"/>
  <c r="L334" i="1"/>
  <c r="L335" i="1"/>
  <c r="E129" i="2" s="1"/>
  <c r="F336" i="1"/>
  <c r="F337" i="1" s="1"/>
  <c r="H336" i="1"/>
  <c r="H337" i="1" s="1"/>
  <c r="I336" i="1"/>
  <c r="J336" i="1"/>
  <c r="J337" i="1" s="1"/>
  <c r="K336" i="1"/>
  <c r="L336" i="1"/>
  <c r="G337" i="1"/>
  <c r="I337" i="1"/>
  <c r="K337" i="1"/>
  <c r="L340" i="1"/>
  <c r="E130" i="2" s="1"/>
  <c r="L341" i="1"/>
  <c r="E131" i="2" s="1"/>
  <c r="L343" i="1"/>
  <c r="E133" i="2" s="1"/>
  <c r="L344" i="1"/>
  <c r="E134" i="2" s="1"/>
  <c r="L345" i="1"/>
  <c r="E136" i="2" s="1"/>
  <c r="L346" i="1"/>
  <c r="L348" i="1"/>
  <c r="E141" i="2" s="1"/>
  <c r="L349" i="1"/>
  <c r="E142" i="2" s="1"/>
  <c r="K350" i="1"/>
  <c r="L350" i="1"/>
  <c r="F351" i="1"/>
  <c r="G351" i="1"/>
  <c r="H351" i="1"/>
  <c r="I351" i="1"/>
  <c r="J351" i="1"/>
  <c r="K351" i="1"/>
  <c r="L357" i="1"/>
  <c r="L358" i="1"/>
  <c r="L359" i="1"/>
  <c r="L360" i="1"/>
  <c r="F361" i="1"/>
  <c r="G361" i="1"/>
  <c r="H361" i="1"/>
  <c r="I361" i="1"/>
  <c r="J361" i="1"/>
  <c r="K361" i="1"/>
  <c r="L361" i="1"/>
  <c r="C27" i="10" s="1"/>
  <c r="I366" i="1"/>
  <c r="I367" i="1"/>
  <c r="F368" i="1"/>
  <c r="G368" i="1"/>
  <c r="H368" i="1"/>
  <c r="I368" i="1"/>
  <c r="L373" i="1"/>
  <c r="L374" i="1"/>
  <c r="L381" i="1" s="1"/>
  <c r="G635" i="1" s="1"/>
  <c r="J635" i="1" s="1"/>
  <c r="L375" i="1"/>
  <c r="L376" i="1"/>
  <c r="L377" i="1"/>
  <c r="L378" i="1"/>
  <c r="L379" i="1"/>
  <c r="L380" i="1"/>
  <c r="F381" i="1"/>
  <c r="G381" i="1"/>
  <c r="H381" i="1"/>
  <c r="I381" i="1"/>
  <c r="J381" i="1"/>
  <c r="K381" i="1"/>
  <c r="L386" i="1"/>
  <c r="L387" i="1"/>
  <c r="L388" i="1"/>
  <c r="L389" i="1"/>
  <c r="L390" i="1"/>
  <c r="L391" i="1"/>
  <c r="F392" i="1"/>
  <c r="G392" i="1"/>
  <c r="H392" i="1"/>
  <c r="I392" i="1"/>
  <c r="L392" i="1"/>
  <c r="C137" i="2" s="1"/>
  <c r="L394" i="1"/>
  <c r="L395" i="1"/>
  <c r="L400" i="1" s="1"/>
  <c r="L396" i="1"/>
  <c r="L397" i="1"/>
  <c r="L398" i="1"/>
  <c r="L399" i="1"/>
  <c r="F400" i="1"/>
  <c r="F407" i="1" s="1"/>
  <c r="H642" i="1" s="1"/>
  <c r="J642" i="1" s="1"/>
  <c r="G400" i="1"/>
  <c r="H400" i="1"/>
  <c r="H407" i="1" s="1"/>
  <c r="H643" i="1" s="1"/>
  <c r="J643" i="1" s="1"/>
  <c r="I400" i="1"/>
  <c r="L402" i="1"/>
  <c r="L403" i="1"/>
  <c r="L404" i="1"/>
  <c r="L405" i="1"/>
  <c r="F406" i="1"/>
  <c r="G406" i="1"/>
  <c r="H406" i="1"/>
  <c r="I406" i="1"/>
  <c r="L406" i="1"/>
  <c r="C139" i="2" s="1"/>
  <c r="G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K418" i="1"/>
  <c r="L418" i="1"/>
  <c r="L420" i="1"/>
  <c r="L421" i="1"/>
  <c r="L426" i="1" s="1"/>
  <c r="L433" i="1" s="1"/>
  <c r="G637" i="1" s="1"/>
  <c r="J637" i="1" s="1"/>
  <c r="L422" i="1"/>
  <c r="L423" i="1"/>
  <c r="L424" i="1"/>
  <c r="L425" i="1"/>
  <c r="F426" i="1"/>
  <c r="G426" i="1"/>
  <c r="H426" i="1"/>
  <c r="I426" i="1"/>
  <c r="J426" i="1"/>
  <c r="K426" i="1"/>
  <c r="L428" i="1"/>
  <c r="L429" i="1"/>
  <c r="L430" i="1"/>
  <c r="L431" i="1"/>
  <c r="F432" i="1"/>
  <c r="F433" i="1" s="1"/>
  <c r="G432" i="1"/>
  <c r="H432" i="1"/>
  <c r="H433" i="1" s="1"/>
  <c r="I432" i="1"/>
  <c r="J432" i="1"/>
  <c r="J433" i="1" s="1"/>
  <c r="K432" i="1"/>
  <c r="L432" i="1"/>
  <c r="G433" i="1"/>
  <c r="I433" i="1"/>
  <c r="K433" i="1"/>
  <c r="G133" i="2" s="1"/>
  <c r="G143" i="2" s="1"/>
  <c r="G144" i="2" s="1"/>
  <c r="I438" i="1"/>
  <c r="J9" i="1" s="1"/>
  <c r="I439" i="1"/>
  <c r="J10" i="1" s="1"/>
  <c r="G9" i="2" s="1"/>
  <c r="I440" i="1"/>
  <c r="J12" i="1" s="1"/>
  <c r="G11" i="2" s="1"/>
  <c r="I441" i="1"/>
  <c r="J13" i="1" s="1"/>
  <c r="G12" i="2" s="1"/>
  <c r="I442" i="1"/>
  <c r="J14" i="1" s="1"/>
  <c r="G13" i="2" s="1"/>
  <c r="I443" i="1"/>
  <c r="J17" i="1" s="1"/>
  <c r="G16" i="2" s="1"/>
  <c r="I444" i="1"/>
  <c r="J18" i="1" s="1"/>
  <c r="G17" i="2" s="1"/>
  <c r="F445" i="1"/>
  <c r="G445" i="1"/>
  <c r="H445" i="1"/>
  <c r="I447" i="1"/>
  <c r="J22" i="1" s="1"/>
  <c r="I448" i="1"/>
  <c r="J23" i="1" s="1"/>
  <c r="G22" i="2" s="1"/>
  <c r="I449" i="1"/>
  <c r="J24" i="1" s="1"/>
  <c r="G23" i="2" s="1"/>
  <c r="I450" i="1"/>
  <c r="J31" i="1" s="1"/>
  <c r="G30" i="2" s="1"/>
  <c r="F451" i="1"/>
  <c r="G451" i="1"/>
  <c r="H451" i="1"/>
  <c r="I451" i="1"/>
  <c r="I460" i="1" s="1"/>
  <c r="H641" i="1" s="1"/>
  <c r="I453" i="1"/>
  <c r="J48" i="1" s="1"/>
  <c r="G47" i="2" s="1"/>
  <c r="I454" i="1"/>
  <c r="J45" i="1" s="1"/>
  <c r="G44" i="2" s="1"/>
  <c r="I455" i="1"/>
  <c r="J43" i="1" s="1"/>
  <c r="G42" i="2" s="1"/>
  <c r="I456" i="1"/>
  <c r="J37" i="1" s="1"/>
  <c r="I457" i="1"/>
  <c r="J39" i="1" s="1"/>
  <c r="G38" i="2" s="1"/>
  <c r="I458" i="1"/>
  <c r="J47" i="1" s="1"/>
  <c r="G46" i="2" s="1"/>
  <c r="F459" i="1"/>
  <c r="G459" i="1"/>
  <c r="H459" i="1"/>
  <c r="I459" i="1"/>
  <c r="F460" i="1"/>
  <c r="G460" i="1"/>
  <c r="H639" i="1" s="1"/>
  <c r="J639" i="1" s="1"/>
  <c r="H460" i="1"/>
  <c r="F467" i="1"/>
  <c r="H467" i="1"/>
  <c r="H469" i="1" s="1"/>
  <c r="H475" i="1" s="1"/>
  <c r="H623" i="1" s="1"/>
  <c r="J623" i="1" s="1"/>
  <c r="F469" i="1"/>
  <c r="G469" i="1"/>
  <c r="I469" i="1"/>
  <c r="J469" i="1"/>
  <c r="F473" i="1"/>
  <c r="F475" i="1" s="1"/>
  <c r="H621" i="1" s="1"/>
  <c r="J621" i="1" s="1"/>
  <c r="G473" i="1"/>
  <c r="H473" i="1"/>
  <c r="I473" i="1"/>
  <c r="J473" i="1"/>
  <c r="J475" i="1" s="1"/>
  <c r="H625" i="1" s="1"/>
  <c r="G475" i="1"/>
  <c r="I475" i="1"/>
  <c r="K494" i="1"/>
  <c r="K495" i="1"/>
  <c r="K496" i="1"/>
  <c r="K497" i="1"/>
  <c r="K498" i="1"/>
  <c r="F499" i="1"/>
  <c r="B160" i="2" s="1"/>
  <c r="G499" i="1"/>
  <c r="C160" i="2" s="1"/>
  <c r="H499" i="1"/>
  <c r="D160" i="2" s="1"/>
  <c r="I499" i="1"/>
  <c r="E160" i="2" s="1"/>
  <c r="J499" i="1"/>
  <c r="F160" i="2" s="1"/>
  <c r="K500" i="1"/>
  <c r="K501" i="1"/>
  <c r="F502" i="1"/>
  <c r="B163" i="2" s="1"/>
  <c r="G502" i="1"/>
  <c r="C163" i="2" s="1"/>
  <c r="H502" i="1"/>
  <c r="D163" i="2" s="1"/>
  <c r="I502" i="1"/>
  <c r="E163" i="2" s="1"/>
  <c r="J502" i="1"/>
  <c r="F163" i="2" s="1"/>
  <c r="F516" i="1"/>
  <c r="G516" i="1"/>
  <c r="H516" i="1"/>
  <c r="I516" i="1"/>
  <c r="F520" i="1"/>
  <c r="F523" i="1" s="1"/>
  <c r="F544" i="1" s="1"/>
  <c r="G520" i="1"/>
  <c r="H520" i="1"/>
  <c r="H523" i="1" s="1"/>
  <c r="I520" i="1"/>
  <c r="L520" i="1"/>
  <c r="L523" i="1" s="1"/>
  <c r="L521" i="1"/>
  <c r="F522" i="1"/>
  <c r="G522" i="1"/>
  <c r="H522" i="1"/>
  <c r="I522" i="1"/>
  <c r="L522" i="1"/>
  <c r="G523" i="1"/>
  <c r="I523" i="1"/>
  <c r="J523" i="1"/>
  <c r="K523" i="1"/>
  <c r="H525" i="1"/>
  <c r="L525" i="1" s="1"/>
  <c r="L526" i="1"/>
  <c r="H527" i="1"/>
  <c r="L527" i="1"/>
  <c r="F528" i="1"/>
  <c r="G528" i="1"/>
  <c r="I528" i="1"/>
  <c r="J528" i="1"/>
  <c r="K528" i="1"/>
  <c r="F530" i="1"/>
  <c r="L530" i="1" s="1"/>
  <c r="G530" i="1"/>
  <c r="H530" i="1"/>
  <c r="I530" i="1"/>
  <c r="K530" i="1"/>
  <c r="K533" i="1" s="1"/>
  <c r="K544" i="1" s="1"/>
  <c r="L531" i="1"/>
  <c r="F532" i="1"/>
  <c r="G532" i="1"/>
  <c r="L532" i="1" s="1"/>
  <c r="H550" i="1" s="1"/>
  <c r="H532" i="1"/>
  <c r="I532" i="1"/>
  <c r="I533" i="1" s="1"/>
  <c r="I544" i="1" s="1"/>
  <c r="F533" i="1"/>
  <c r="H533" i="1"/>
  <c r="J533" i="1"/>
  <c r="L535" i="1"/>
  <c r="L536" i="1"/>
  <c r="L537" i="1"/>
  <c r="F538" i="1"/>
  <c r="G538" i="1"/>
  <c r="H538" i="1"/>
  <c r="I538" i="1"/>
  <c r="J538" i="1"/>
  <c r="K538" i="1"/>
  <c r="L538" i="1"/>
  <c r="H540" i="1"/>
  <c r="L540" i="1"/>
  <c r="L543" i="1" s="1"/>
  <c r="L541" i="1"/>
  <c r="L542" i="1"/>
  <c r="J550" i="1" s="1"/>
  <c r="F543" i="1"/>
  <c r="G543" i="1"/>
  <c r="H543" i="1"/>
  <c r="I543" i="1"/>
  <c r="J543" i="1"/>
  <c r="K543" i="1"/>
  <c r="J544" i="1"/>
  <c r="F548" i="1"/>
  <c r="I548" i="1"/>
  <c r="F549" i="1"/>
  <c r="G549" i="1"/>
  <c r="H549" i="1"/>
  <c r="I549" i="1"/>
  <c r="J549" i="1"/>
  <c r="K549" i="1"/>
  <c r="F550" i="1"/>
  <c r="G550" i="1"/>
  <c r="I550" i="1"/>
  <c r="F551" i="1"/>
  <c r="I551" i="1"/>
  <c r="L556" i="1"/>
  <c r="L557" i="1"/>
  <c r="L558" i="1"/>
  <c r="F559" i="1"/>
  <c r="F570" i="1" s="1"/>
  <c r="G559" i="1"/>
  <c r="H559" i="1"/>
  <c r="H570" i="1" s="1"/>
  <c r="I559" i="1"/>
  <c r="J559" i="1"/>
  <c r="J570" i="1" s="1"/>
  <c r="K559" i="1"/>
  <c r="L559" i="1"/>
  <c r="L570" i="1" s="1"/>
  <c r="L561" i="1"/>
  <c r="L562" i="1"/>
  <c r="L563" i="1"/>
  <c r="F564" i="1"/>
  <c r="G564" i="1"/>
  <c r="H564" i="1"/>
  <c r="I564" i="1"/>
  <c r="J564" i="1"/>
  <c r="K564" i="1"/>
  <c r="L564" i="1"/>
  <c r="L566" i="1"/>
  <c r="L567" i="1"/>
  <c r="L568" i="1"/>
  <c r="F569" i="1"/>
  <c r="G569" i="1"/>
  <c r="H569" i="1"/>
  <c r="I569" i="1"/>
  <c r="J569" i="1"/>
  <c r="K569" i="1"/>
  <c r="L569" i="1"/>
  <c r="G570" i="1"/>
  <c r="I570" i="1"/>
  <c r="K570" i="1"/>
  <c r="I574" i="1"/>
  <c r="I575" i="1"/>
  <c r="I576" i="1"/>
  <c r="I577" i="1"/>
  <c r="F578" i="1"/>
  <c r="H578" i="1"/>
  <c r="I578" i="1"/>
  <c r="I579" i="1"/>
  <c r="I580" i="1"/>
  <c r="F581" i="1"/>
  <c r="H581" i="1"/>
  <c r="I581" i="1" s="1"/>
  <c r="I582" i="1"/>
  <c r="I583" i="1"/>
  <c r="I584" i="1"/>
  <c r="I585" i="1"/>
  <c r="I586" i="1"/>
  <c r="K590" i="1"/>
  <c r="H591" i="1"/>
  <c r="K591" i="1" s="1"/>
  <c r="K597" i="1" s="1"/>
  <c r="G646" i="1" s="1"/>
  <c r="J646" i="1" s="1"/>
  <c r="K592" i="1"/>
  <c r="H593" i="1"/>
  <c r="K593" i="1"/>
  <c r="H594" i="1"/>
  <c r="K594" i="1"/>
  <c r="K595" i="1"/>
  <c r="K596" i="1"/>
  <c r="I597" i="1"/>
  <c r="J597" i="1"/>
  <c r="K601" i="1"/>
  <c r="K602" i="1"/>
  <c r="K604" i="1" s="1"/>
  <c r="G647" i="1" s="1"/>
  <c r="J647" i="1" s="1"/>
  <c r="K603" i="1"/>
  <c r="H604" i="1"/>
  <c r="I604" i="1"/>
  <c r="J604" i="1"/>
  <c r="L610" i="1"/>
  <c r="L613" i="1" s="1"/>
  <c r="L611" i="1"/>
  <c r="L612" i="1"/>
  <c r="F613" i="1"/>
  <c r="G613" i="1"/>
  <c r="H613" i="1"/>
  <c r="I613" i="1"/>
  <c r="J613" i="1"/>
  <c r="K613" i="1"/>
  <c r="G616" i="1"/>
  <c r="H616" i="1"/>
  <c r="J616" i="1"/>
  <c r="G617" i="1"/>
  <c r="H617" i="1"/>
  <c r="J617" i="1" s="1"/>
  <c r="G618" i="1"/>
  <c r="H618" i="1"/>
  <c r="J618" i="1"/>
  <c r="G619" i="1"/>
  <c r="H619" i="1"/>
  <c r="J619" i="1" s="1"/>
  <c r="G621" i="1"/>
  <c r="G622" i="1"/>
  <c r="H622" i="1"/>
  <c r="J622" i="1" s="1"/>
  <c r="G623" i="1"/>
  <c r="G624" i="1"/>
  <c r="H624" i="1"/>
  <c r="J624" i="1" s="1"/>
  <c r="G626" i="1"/>
  <c r="H626" i="1"/>
  <c r="J626" i="1"/>
  <c r="G627" i="1"/>
  <c r="H627" i="1"/>
  <c r="J627" i="1" s="1"/>
  <c r="G628" i="1"/>
  <c r="H628" i="1"/>
  <c r="J628" i="1"/>
  <c r="G629" i="1"/>
  <c r="H629" i="1"/>
  <c r="J629" i="1" s="1"/>
  <c r="H630" i="1"/>
  <c r="H631" i="1"/>
  <c r="H632" i="1"/>
  <c r="G633" i="1"/>
  <c r="H633" i="1"/>
  <c r="J633" i="1" s="1"/>
  <c r="G634" i="1"/>
  <c r="H634" i="1"/>
  <c r="J634" i="1"/>
  <c r="H635" i="1"/>
  <c r="H636" i="1"/>
  <c r="H637" i="1"/>
  <c r="G638" i="1"/>
  <c r="H638" i="1"/>
  <c r="J638" i="1"/>
  <c r="G639" i="1"/>
  <c r="G640" i="1"/>
  <c r="H640" i="1"/>
  <c r="J640" i="1"/>
  <c r="G642" i="1"/>
  <c r="G643" i="1"/>
  <c r="G644" i="1"/>
  <c r="H644" i="1"/>
  <c r="J644" i="1" s="1"/>
  <c r="H646" i="1"/>
  <c r="H647" i="1"/>
  <c r="G648" i="1"/>
  <c r="G649" i="1"/>
  <c r="H649" i="1"/>
  <c r="J649" i="1" s="1"/>
  <c r="G650" i="1"/>
  <c r="H650" i="1"/>
  <c r="J650" i="1"/>
  <c r="G651" i="1"/>
  <c r="H651" i="1"/>
  <c r="J651" i="1" s="1"/>
  <c r="G652" i="1"/>
  <c r="H652" i="1"/>
  <c r="J652" i="1"/>
  <c r="G653" i="1"/>
  <c r="H653" i="1"/>
  <c r="J653" i="1" s="1"/>
  <c r="G654" i="1"/>
  <c r="H654" i="1"/>
  <c r="J654" i="1"/>
  <c r="G659" i="1"/>
  <c r="F660" i="1"/>
  <c r="G660" i="1"/>
  <c r="H660" i="1"/>
  <c r="I660" i="1"/>
  <c r="F661" i="1"/>
  <c r="G661" i="1"/>
  <c r="H661" i="1"/>
  <c r="I661" i="1"/>
  <c r="F662" i="1"/>
  <c r="G662" i="1"/>
  <c r="H662" i="1"/>
  <c r="I662" i="1" s="1"/>
  <c r="G663" i="1"/>
  <c r="G666" i="1" s="1"/>
  <c r="I664" i="1"/>
  <c r="I668" i="1"/>
  <c r="I669" i="1"/>
  <c r="J192" i="1"/>
  <c r="G645" i="1"/>
  <c r="G630" i="1"/>
  <c r="J630" i="1"/>
  <c r="K550" i="1" l="1"/>
  <c r="L528" i="1"/>
  <c r="G548" i="1"/>
  <c r="G8" i="2"/>
  <c r="G18" i="2" s="1"/>
  <c r="J19" i="1"/>
  <c r="G620" i="1" s="1"/>
  <c r="H548" i="1"/>
  <c r="H551" i="1" s="1"/>
  <c r="L533" i="1"/>
  <c r="L544" i="1" s="1"/>
  <c r="C138" i="2"/>
  <c r="C140" i="2" s="1"/>
  <c r="L407" i="1"/>
  <c r="G163" i="2"/>
  <c r="G160" i="2"/>
  <c r="G36" i="2"/>
  <c r="G49" i="2" s="1"/>
  <c r="J50" i="1"/>
  <c r="D126" i="2"/>
  <c r="D127" i="2" s="1"/>
  <c r="D144" i="2" s="1"/>
  <c r="D29" i="13"/>
  <c r="C29" i="13" s="1"/>
  <c r="E108" i="2"/>
  <c r="L289" i="1"/>
  <c r="C20" i="10"/>
  <c r="C122" i="2"/>
  <c r="D14" i="13"/>
  <c r="C14" i="13" s="1"/>
  <c r="C15" i="10"/>
  <c r="C117" i="2"/>
  <c r="D6" i="13"/>
  <c r="C6" i="13" s="1"/>
  <c r="D5" i="13"/>
  <c r="G671" i="1"/>
  <c r="H597" i="1"/>
  <c r="H648" i="1" s="1"/>
  <c r="J648" i="1" s="1"/>
  <c r="J548" i="1"/>
  <c r="J551" i="1" s="1"/>
  <c r="G533" i="1"/>
  <c r="G544" i="1" s="1"/>
  <c r="H528" i="1"/>
  <c r="H544" i="1" s="1"/>
  <c r="K502" i="1"/>
  <c r="K499" i="1"/>
  <c r="G21" i="2"/>
  <c r="G31" i="2" s="1"/>
  <c r="J32" i="1"/>
  <c r="I445" i="1"/>
  <c r="G641" i="1" s="1"/>
  <c r="J641" i="1" s="1"/>
  <c r="F129" i="2"/>
  <c r="F143" i="2" s="1"/>
  <c r="F144" i="2" s="1"/>
  <c r="L246" i="1"/>
  <c r="H659" i="1" s="1"/>
  <c r="H663" i="1" s="1"/>
  <c r="C21" i="10"/>
  <c r="C123" i="2"/>
  <c r="D15" i="13"/>
  <c r="C15" i="13" s="1"/>
  <c r="C17" i="10"/>
  <c r="C119" i="2"/>
  <c r="E8" i="13"/>
  <c r="D7" i="13"/>
  <c r="C7" i="13" s="1"/>
  <c r="G33" i="13"/>
  <c r="C10" i="10"/>
  <c r="C108" i="2"/>
  <c r="E113" i="2"/>
  <c r="E124" i="2"/>
  <c r="E122" i="2"/>
  <c r="E120" i="2"/>
  <c r="E118" i="2"/>
  <c r="E111" i="2"/>
  <c r="E109" i="2"/>
  <c r="C26" i="10"/>
  <c r="C130" i="2"/>
  <c r="C32" i="10"/>
  <c r="C112" i="2"/>
  <c r="C23" i="10"/>
  <c r="C124" i="2"/>
  <c r="C19" i="10"/>
  <c r="C121" i="2"/>
  <c r="C12" i="10"/>
  <c r="C110" i="2"/>
  <c r="C39" i="10"/>
  <c r="E61" i="2"/>
  <c r="E62" i="2"/>
  <c r="E103" i="2" s="1"/>
  <c r="C35" i="10"/>
  <c r="C55" i="2"/>
  <c r="C18" i="2"/>
  <c r="C141" i="2"/>
  <c r="E143" i="2"/>
  <c r="E123" i="2"/>
  <c r="E121" i="2"/>
  <c r="E119" i="2"/>
  <c r="E117" i="2"/>
  <c r="E110" i="2"/>
  <c r="C131" i="2"/>
  <c r="C25" i="10"/>
  <c r="C29" i="10"/>
  <c r="C129" i="2"/>
  <c r="C143" i="2" s="1"/>
  <c r="C113" i="2"/>
  <c r="C24" i="10"/>
  <c r="L204" i="1"/>
  <c r="L210" i="1" s="1"/>
  <c r="C16" i="10"/>
  <c r="C118" i="2"/>
  <c r="C13" i="10"/>
  <c r="C111" i="2"/>
  <c r="C11" i="10"/>
  <c r="C109" i="2"/>
  <c r="C38" i="10"/>
  <c r="C61" i="2"/>
  <c r="F103" i="2"/>
  <c r="D103" i="2"/>
  <c r="H25" i="13"/>
  <c r="F22" i="13"/>
  <c r="C22" i="13" s="1"/>
  <c r="D17" i="13"/>
  <c r="C17" i="13" s="1"/>
  <c r="E16" i="13"/>
  <c r="C16" i="13" s="1"/>
  <c r="E13" i="13"/>
  <c r="C13" i="13" s="1"/>
  <c r="L256" i="1" l="1"/>
  <c r="L270" i="1" s="1"/>
  <c r="G631" i="1" s="1"/>
  <c r="J631" i="1" s="1"/>
  <c r="F659" i="1"/>
  <c r="C62" i="2"/>
  <c r="C103" i="2" s="1"/>
  <c r="F33" i="13"/>
  <c r="D31" i="13"/>
  <c r="C31" i="13" s="1"/>
  <c r="L337" i="1"/>
  <c r="L351" i="1" s="1"/>
  <c r="G632" i="1" s="1"/>
  <c r="J632" i="1" s="1"/>
  <c r="G50" i="2"/>
  <c r="C25" i="13"/>
  <c r="H33" i="13"/>
  <c r="C18" i="10"/>
  <c r="C120" i="2"/>
  <c r="D12" i="13"/>
  <c r="C12" i="13" s="1"/>
  <c r="E127" i="2"/>
  <c r="C36" i="10"/>
  <c r="C114" i="2"/>
  <c r="C8" i="13"/>
  <c r="E33" i="13"/>
  <c r="D35" i="13" s="1"/>
  <c r="H666" i="1"/>
  <c r="H671" i="1"/>
  <c r="C6" i="10" s="1"/>
  <c r="C5" i="13"/>
  <c r="D33" i="13"/>
  <c r="D36" i="13" s="1"/>
  <c r="C127" i="2"/>
  <c r="E114" i="2"/>
  <c r="E144" i="2" s="1"/>
  <c r="G625" i="1"/>
  <c r="J625" i="1" s="1"/>
  <c r="J51" i="1"/>
  <c r="H620" i="1" s="1"/>
  <c r="H645" i="1"/>
  <c r="J645" i="1" s="1"/>
  <c r="G636" i="1"/>
  <c r="J636" i="1" s="1"/>
  <c r="H655" i="1"/>
  <c r="J620" i="1"/>
  <c r="K548" i="1"/>
  <c r="K551" i="1" s="1"/>
  <c r="G551" i="1"/>
  <c r="C144" i="2" l="1"/>
  <c r="F663" i="1"/>
  <c r="I659" i="1"/>
  <c r="I663" i="1" s="1"/>
  <c r="C41" i="10"/>
  <c r="C28" i="10"/>
  <c r="D22" i="10" l="1"/>
  <c r="C30" i="10"/>
  <c r="D27" i="10"/>
  <c r="D16" i="10"/>
  <c r="D25" i="10"/>
  <c r="D19" i="10"/>
  <c r="D26" i="10"/>
  <c r="D17" i="10"/>
  <c r="D20" i="10"/>
  <c r="D13" i="10"/>
  <c r="D24" i="10"/>
  <c r="D12" i="10"/>
  <c r="D23" i="10"/>
  <c r="D10" i="10"/>
  <c r="D21" i="10"/>
  <c r="D15" i="10"/>
  <c r="D11" i="10"/>
  <c r="D37" i="10"/>
  <c r="D40" i="10"/>
  <c r="D38" i="10"/>
  <c r="D39" i="10"/>
  <c r="D35" i="10"/>
  <c r="D18" i="10"/>
  <c r="D36" i="10"/>
  <c r="F671" i="1"/>
  <c r="C4" i="10" s="1"/>
  <c r="F666" i="1"/>
  <c r="I666" i="1"/>
  <c r="I671" i="1"/>
  <c r="C7" i="10" s="1"/>
  <c r="D41" i="10" l="1"/>
  <c r="D28" i="10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<sst xmlns="http://schemas.openxmlformats.org/spreadsheetml/2006/main" count="3950" uniqueCount="914">
  <si>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</si>
  <si>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</si>
  <si>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</si>
  <si>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</si>
  <si>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</si>
  <si>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</si>
  <si>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</si>
  <si>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</si>
  <si>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</si>
  <si>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</si>
  <si>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</si>
  <si>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</si>
  <si>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</si>
  <si>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</si>
  <si>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</si>
  <si>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</si>
  <si>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</si>
  <si>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</si>
  <si>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</si>
  <si>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</si>
  <si>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</si>
  <si>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</si>
  <si>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</si>
  <si>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</si>
  <si>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</si>
  <si>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</si>
  <si>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</si>
  <si>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</si>
  <si>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</si>
  <si>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</si>
  <si>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</si>
  <si>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</si>
  <si>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</si>
  <si>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</si>
  <si>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</si>
  <si>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</si>
  <si>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</si>
  <si>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</si>
  <si>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</si>
  <si>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</si>
  <si>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</si>
  <si>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</si>
  <si>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</si>
  <si>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</si>
  <si>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</si>
  <si>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</si>
  <si>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</si>
  <si>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</si>
  <si>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</si>
  <si>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</si>
  <si>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</si>
  <si>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</si>
  <si>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</si>
  <si>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</si>
  <si>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</si>
  <si>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</si>
  <si>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</si>
  <si>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</si>
  <si>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</si>
  <si>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</si>
  <si>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</si>
  <si>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</si>
  <si>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</si>
  <si>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</si>
  <si>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</si>
  <si>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</si>
  <si>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</si>
  <si>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</si>
  <si>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</si>
  <si>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</si>
  <si>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</si>
  <si>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</si>
  <si>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</si>
  <si>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</si>
  <si>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</si>
  <si>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</si>
  <si>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</si>
  <si>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</si>
  <si>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</si>
  <si>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</si>
  <si>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</si>
  <si>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</si>
  <si>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</si>
  <si>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</si>
  <si>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</si>
  <si>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</si>
  <si>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</si>
  <si>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</si>
  <si>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</si>
  <si>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</si>
  <si>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</si>
  <si>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</si>
  <si>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</si>
  <si>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</si>
  <si>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</si>
  <si>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</si>
  <si>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</si>
  <si>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</si>
  <si>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</si>
  <si>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</si>
  <si>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</si>
  <si>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</si>
  <si>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</si>
  <si>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</si>
  <si>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</si>
  <si>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</si>
  <si>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</si>
  <si>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</si>
  <si>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</si>
  <si>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</si>
  <si>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</si>
  <si>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</si>
  <si>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</si>
  <si>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</si>
  <si>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</si>
  <si>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</si>
  <si>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</si>
  <si>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</si>
  <si>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</si>
  <si>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</si>
  <si>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</si>
  <si>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</si>
  <si>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</si>
  <si>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</si>
  <si>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</si>
  <si>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</si>
  <si>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</si>
  <si>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</si>
  <si>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</si>
  <si>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</si>
  <si>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</si>
  <si>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</si>
  <si>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</si>
  <si>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</si>
  <si>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</si>
  <si>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</si>
  <si>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</si>
  <si>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</si>
  <si>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</si>
  <si>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</si>
  <si>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</si>
  <si>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</si>
  <si>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</si>
  <si>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</si>
  <si>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</si>
  <si>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</si>
  <si>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</si>
  <si>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</si>
  <si>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</si>
  <si>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</si>
  <si>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</si>
  <si>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</si>
  <si>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</si>
  <si>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</si>
  <si>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</si>
  <si>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</si>
  <si>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</si>
  <si>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</si>
  <si>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</si>
  <si>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</si>
  <si>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</si>
  <si>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</si>
  <si>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</si>
  <si>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</si>
  <si>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</si>
  <si>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</si>
  <si>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</si>
  <si>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</si>
  <si>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</si>
  <si>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</si>
  <si>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</si>
  <si>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</si>
  <si>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</si>
  <si>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</si>
  <si>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</si>
  <si>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</si>
  <si>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</si>
  <si>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</si>
  <si>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</si>
  <si>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</si>
  <si>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</si>
  <si>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</si>
  <si>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</si>
  <si>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</si>
  <si>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</si>
  <si>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</si>
  <si>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</si>
  <si>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</si>
  <si>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</si>
  <si>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</si>
  <si>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</si>
  <si>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</si>
  <si>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</si>
  <si>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</si>
  <si>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</si>
  <si>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</si>
  <si>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</si>
  <si>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</si>
  <si>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</si>
  <si>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</si>
  <si>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</si>
  <si>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</si>
  <si>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</si>
  <si>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</si>
  <si>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</si>
  <si>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</si>
  <si>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</si>
  <si>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</si>
  <si>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</si>
  <si>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</si>
  <si>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</si>
  <si>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</si>
  <si>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</si>
  <si>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</si>
  <si>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</si>
  <si>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</si>
  <si>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</si>
  <si>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</si>
  <si>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</si>
  <si>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</si>
  <si>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</si>
  <si>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</si>
  <si>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</si>
  <si>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</si>
  <si>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</si>
  <si>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</si>
  <si>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</si>
  <si>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</si>
  <si>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</si>
  <si>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</si>
  <si>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</si>
  <si>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</si>
  <si>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</si>
  <si>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</si>
  <si>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</si>
  <si>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</si>
  <si>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</si>
  <si>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</si>
  <si>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</si>
  <si>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</si>
  <si>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</si>
  <si>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</si>
  <si>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</si>
  <si>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</si>
  <si>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</si>
  <si>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</si>
  <si>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</si>
  <si>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</si>
  <si>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</si>
  <si>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</si>
  <si>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</si>
  <si>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</si>
  <si>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</si>
  <si>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</si>
  <si>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</si>
  <si>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</si>
  <si>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</si>
  <si>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</si>
  <si>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</si>
  <si>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</si>
  <si>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</si>
  <si>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</si>
  <si>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</si>
  <si>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</si>
  <si>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</si>
  <si>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</si>
  <si>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</si>
  <si>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</si>
  <si>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</si>
  <si>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</si>
  <si>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</si>
  <si>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</si>
  <si>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</si>
  <si>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</si>
  <si>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</si>
  <si>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</si>
  <si>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</si>
  <si>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</si>
  <si>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</si>
  <si>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</si>
  <si>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</si>
  <si>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</si>
  <si>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</si>
  <si>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</si>
  <si>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</si>
  <si>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</si>
  <si>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</si>
  <si>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</si>
  <si>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</si>
  <si>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</si>
  <si>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</si>
  <si>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</si>
  <si>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</si>
  <si>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</si>
  <si>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</si>
  <si>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</si>
  <si>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</si>
  <si>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</si>
  <si>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</si>
  <si>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</si>
  <si>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</si>
  <si>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</si>
  <si>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</si>
  <si>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</si>
  <si>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</si>
  <si>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</si>
  <si>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</si>
  <si>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</si>
  <si>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</si>
  <si>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</si>
  <si>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</si>
  <si>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</si>
  <si>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</si>
  <si>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</si>
  <si>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</si>
  <si>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</si>
  <si>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</si>
  <si>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</si>
  <si>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</si>
  <si>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</si>
  <si>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</si>
  <si>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</si>
  <si>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</si>
  <si>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</si>
  <si>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</si>
  <si>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</si>
  <si>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</si>
  <si>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</si>
  <si>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</si>
  <si>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</si>
  <si>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</si>
  <si>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</si>
  <si>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</si>
  <si>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</si>
  <si>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</si>
  <si>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</si>
  <si>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</si>
  <si>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</si>
  <si>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</si>
  <si>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</si>
  <si>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</si>
  <si>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</si>
  <si>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</si>
  <si>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</si>
  <si>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</si>
  <si>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</si>
  <si>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</si>
  <si>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</si>
  <si>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</si>
  <si>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</si>
  <si>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</si>
  <si>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</si>
  <si>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</si>
  <si>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</si>
  <si>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</si>
  <si>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</si>
  <si>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</si>
  <si>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</si>
  <si>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</si>
  <si>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</si>
  <si>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</si>
  <si>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</si>
  <si>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</si>
  <si>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</si>
  <si>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</si>
  <si>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</si>
  <si>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</si>
  <si>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</si>
  <si>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</si>
  <si>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</si>
  <si>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</si>
  <si>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</si>
  <si>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</si>
  <si>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</si>
  <si>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</si>
  <si>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</si>
  <si>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</si>
  <si>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</si>
  <si>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</si>
  <si>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</si>
  <si>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</si>
  <si>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</si>
  <si>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</si>
  <si>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</si>
  <si>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</si>
  <si>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</si>
  <si>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</si>
  <si>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</si>
  <si>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</si>
  <si>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</si>
  <si>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</si>
  <si>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</si>
  <si>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</si>
  <si>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</si>
  <si>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</si>
  <si>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</si>
  <si>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</si>
  <si>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</si>
  <si>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</si>
  <si>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</si>
  <si>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</si>
  <si>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</si>
  <si>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</si>
  <si>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</si>
  <si>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</si>
  <si>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</si>
  <si>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</si>
  <si>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</si>
  <si>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</si>
  <si>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</si>
  <si>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</si>
  <si>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</si>
  <si>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</si>
  <si>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</si>
  <si>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</si>
  <si>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</si>
  <si>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</si>
  <si>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</si>
  <si>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</si>
  <si>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</si>
  <si>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</si>
  <si>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</si>
  <si>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</si>
  <si>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</si>
  <si>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</si>
  <si>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</si>
  <si>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</si>
  <si>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</si>
  <si>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</si>
  <si>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</si>
  <si>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</si>
  <si>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</si>
  <si>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</si>
  <si>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</si>
  <si>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</si>
  <si>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</si>
  <si>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</si>
  <si>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</si>
  <si>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</si>
  <si>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</si>
  <si>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</si>
  <si>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</si>
  <si>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</si>
  <si>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</si>
  <si>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</si>
  <si>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</si>
  <si>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</si>
  <si>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</si>
  <si>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</si>
  <si>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</si>
  <si>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</si>
  <si>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</si>
  <si>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</si>
  <si>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</si>
  <si>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</si>
  <si>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</si>
  <si>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</si>
  <si>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</si>
  <si>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</si>
  <si>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</si>
  <si>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</si>
  <si>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</si>
  <si>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</si>
  <si>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</si>
  <si>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</si>
  <si>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</si>
  <si>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</si>
  <si>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</si>
  <si>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</si>
  <si>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</si>
  <si>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</si>
  <si>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</si>
  <si>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</si>
  <si>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</si>
  <si>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</si>
  <si>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</si>
  <si>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</si>
  <si>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</si>
  <si>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</si>
  <si>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</si>
  <si>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</si>
  <si>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</si>
  <si>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</si>
  <si>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</si>
  <si>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</si>
  <si>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</si>
  <si>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</si>
  <si>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</si>
  <si>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</si>
  <si>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</si>
  <si>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</si>
  <si>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</si>
  <si>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</si>
  <si>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</si>
  <si>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</si>
  <si>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</si>
  <si>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</si>
  <si>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</si>
  <si>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</si>
  <si>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</si>
  <si>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</si>
  <si>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</si>
  <si>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</si>
  <si>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</si>
  <si>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</si>
  <si>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</si>
  <si>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</si>
  <si>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</si>
  <si>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</si>
  <si>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</si>
  <si>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</si>
  <si>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</si>
  <si>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</si>
  <si>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</si>
  <si>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</si>
  <si>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</si>
  <si>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</si>
  <si>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</si>
  <si>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</si>
  <si>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</si>
  <si>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</si>
  <si>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</si>
  <si>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</si>
  <si>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</si>
  <si>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</si>
  <si>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</si>
  <si>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</si>
  <si>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</si>
  <si>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</si>
  <si>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</si>
  <si>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</si>
  <si>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</si>
  <si>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</si>
  <si>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</si>
  <si>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</si>
  <si>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</si>
  <si>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</si>
  <si>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</si>
  <si>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</si>
  <si>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</si>
  <si>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</si>
  <si>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</si>
  <si>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</si>
  <si>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</si>
  <si>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</si>
  <si>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</si>
  <si>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</si>
  <si>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</si>
  <si>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</si>
  <si>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</si>
  <si>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</si>
  <si>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</si>
  <si>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</si>
  <si>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</si>
  <si>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</si>
  <si>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</si>
  <si>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</si>
  <si>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</si>
  <si>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</si>
  <si>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</si>
  <si>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</si>
  <si>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</si>
  <si>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</si>
  <si>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</si>
  <si>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</si>
  <si>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</si>
  <si>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</si>
  <si>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</si>
  <si>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</si>
  <si>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</si>
  <si>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</si>
  <si>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</si>
  <si>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</si>
  <si>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</si>
  <si>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</si>
  <si>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</si>
  <si>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</si>
  <si>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</si>
  <si>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</si>
  <si>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</si>
  <si>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</si>
  <si>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</si>
  <si>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</si>
  <si>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</si>
  <si>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</si>
  <si>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</si>
  <si>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</si>
  <si>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</si>
  <si>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</si>
  <si>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</si>
  <si>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</si>
  <si>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</si>
  <si>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</si>
  <si>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</si>
  <si>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</si>
  <si>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</si>
  <si>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</si>
  <si>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</si>
  <si>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</si>
  <si>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</si>
  <si>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</si>
  <si>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</si>
  <si>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</si>
  <si>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</si>
  <si>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</si>
  <si>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</si>
  <si>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</si>
  <si>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</si>
  <si>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</si>
  <si>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</si>
  <si>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</si>
  <si>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</si>
  <si>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</si>
  <si>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</si>
  <si>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</si>
  <si>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</si>
  <si>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</si>
  <si>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</si>
  <si>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</si>
  <si>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</si>
  <si>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</si>
  <si>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</si>
  <si>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</si>
  <si>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</si>
  <si>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</si>
  <si>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</si>
  <si>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</si>
  <si>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</si>
  <si>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</si>
  <si>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</si>
  <si>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</si>
  <si>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</si>
  <si>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</si>
  <si>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</si>
  <si>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</si>
  <si>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</si>
  <si>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</si>
  <si>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</si>
  <si>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</si>
  <si>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</si>
  <si>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</si>
  <si>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</si>
  <si>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</si>
  <si>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</si>
  <si>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</si>
  <si>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</si>
  <si>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</si>
  <si>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</si>
  <si>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</si>
  <si>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</si>
  <si>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</si>
  <si>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</si>
  <si>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</si>
  <si>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</si>
  <si>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</si>
  <si>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</si>
  <si>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</si>
  <si>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</si>
  <si>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</si>
  <si>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</si>
  <si>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</si>
  <si>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</si>
  <si>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</si>
  <si>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</si>
  <si>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</si>
  <si>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</si>
  <si>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</si>
  <si>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</si>
  <si>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</si>
  <si>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</si>
  <si>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</si>
  <si>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</si>
  <si>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</si>
  <si>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</si>
  <si>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</si>
  <si>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</si>
  <si>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</si>
  <si>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</si>
  <si>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</si>
  <si>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</si>
  <si>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</si>
  <si>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</si>
  <si>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</si>
  <si>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</si>
  <si>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</si>
  <si>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</si>
  <si>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</si>
  <si>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</si>
  <si>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</si>
  <si>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</si>
  <si>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</si>
  <si>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</si>
  <si>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</si>
  <si>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</si>
  <si>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</si>
  <si>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</si>
  <si>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</si>
  <si>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</si>
  <si>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</si>
  <si>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</si>
  <si>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</si>
  <si>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</si>
  <si>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</si>
  <si>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</si>
  <si>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</si>
  <si>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</si>
  <si>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</si>
  <si>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</si>
  <si>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</si>
  <si>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</si>
  <si>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</si>
  <si>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</si>
  <si>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</si>
  <si>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</si>
  <si>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</si>
  <si>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</si>
  <si>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</si>
  <si>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</si>
  <si>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</si>
  <si>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</si>
  <si>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</si>
  <si>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</si>
  <si>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</si>
  <si>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</si>
  <si>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</si>
  <si>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</si>
  <si>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</si>
  <si>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</si>
  <si>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</si>
  <si>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</si>
  <si>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</si>
  <si>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</si>
  <si>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</si>
  <si>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</si>
  <si>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</si>
  <si>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</si>
  <si>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</si>
  <si>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</si>
  <si>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</si>
  <si>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</si>
  <si>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</si>
  <si>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</si>
  <si>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</si>
  <si>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</si>
  <si>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</si>
  <si>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</si>
  <si>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</si>
  <si>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</si>
  <si>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</si>
  <si>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</si>
  <si>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</si>
  <si>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</si>
  <si>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</si>
  <si>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</si>
  <si>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</si>
  <si>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</si>
  <si>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</si>
  <si>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</si>
  <si>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</si>
  <si>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</si>
  <si>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</si>
  <si>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</si>
  <si>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</si>
  <si>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</si>
  <si>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</si>
  <si>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</si>
  <si>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</si>
  <si>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</si>
  <si>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</si>
  <si>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</si>
  <si>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</si>
  <si>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</si>
  <si>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</si>
  <si>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</si>
  <si>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</si>
  <si>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</si>
  <si>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</si>
  <si>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</si>
  <si>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</si>
  <si>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</si>
  <si>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</si>
  <si>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</si>
  <si>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</si>
  <si>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</si>
  <si>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</si>
  <si>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</si>
  <si>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</si>
  <si>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</si>
  <si>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</si>
  <si>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</si>
  <si>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</si>
  <si>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</si>
  <si>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</si>
  <si>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</si>
  <si>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</si>
  <si>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</si>
  <si>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</si>
  <si>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</si>
  <si>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</si>
  <si>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</si>
  <si>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</si>
  <si>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</si>
  <si>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</si>
  <si>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</si>
  <si>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</si>
  <si>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</si>
  <si>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</si>
  <si>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</si>
  <si>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</si>
  <si>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</si>
  <si>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</si>
  <si>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</si>
  <si>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</si>
  <si>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</si>
  <si>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</si>
  <si>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</si>
  <si>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</si>
  <si>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</si>
  <si>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</si>
  <si>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</si>
  <si>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</si>
  <si>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</si>
  <si>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</si>
  <si>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</si>
  <si>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</si>
  <si>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</si>
  <si>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</si>
  <si>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</si>
  <si>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</si>
  <si>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</si>
  <si>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</si>
  <si>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</si>
  <si>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</si>
  <si>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</si>
  <si>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</si>
  <si>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</si>
  <si>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</si>
  <si>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</si>
  <si>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</si>
  <si>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</si>
  <si>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</si>
  <si>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</si>
  <si>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</si>
  <si>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</si>
  <si>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</si>
  <si>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</si>
  <si>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</si>
  <si>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</si>
  <si>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</si>
  <si>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</si>
  <si>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</si>
  <si>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</si>
  <si>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</si>
  <si>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</si>
  <si>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</si>
  <si>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</si>
  <si>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</si>
  <si>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</si>
  <si>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</si>
  <si>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</si>
  <si>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</si>
  <si>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</si>
  <si>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</si>
  <si>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</si>
  <si>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</si>
  <si>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</si>
  <si>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</si>
  <si>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</si>
  <si>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</si>
  <si>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</si>
  <si>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</si>
  <si>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</si>
  <si>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</si>
  <si>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</si>
  <si>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</si>
  <si>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</si>
  <si>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</si>
  <si>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</si>
  <si>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</si>
  <si>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</si>
  <si>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</si>
  <si>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</si>
  <si>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</si>
  <si>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</si>
  <si>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</si>
  <si>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</si>
  <si>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</si>
  <si>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</si>
  <si>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</si>
  <si>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</si>
  <si>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</si>
  <si>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</si>
  <si>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</si>
  <si>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</si>
  <si>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</si>
  <si>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</si>
  <si>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</si>
  <si>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</si>
  <si>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</si>
  <si>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</si>
  <si>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</si>
  <si>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</si>
  <si>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</si>
  <si>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</si>
  <si>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</si>
  <si>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</si>
  <si>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</si>
  <si>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</si>
  <si>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</si>
  <si>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NORTHUMBERLAND SCHOOL DISTRICT</t>
  </si>
  <si>
    <t>06/01</t>
  </si>
  <si>
    <t>06/15</t>
  </si>
  <si>
    <t>09/10</t>
  </si>
  <si>
    <t>09/20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</si>
</sst>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" fontId="4" fillId="0" borderId="0" xfId="0" applyNumberFormat="1" applyFont="1" applyProtection="1">
      <protection locked="0"/>
    </xf>
    <xf numFmtId="4" fontId="4" fillId="0" borderId="0" xfId="0" applyNumberFormat="1" applyFont="1" applyProtection="1">
      <protection locked="0"/>
    </xf>
    <xf numFmtId="4" fontId="4" fillId="0" borderId="0" xfId="0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zoomScaleNormal="75" workbookViewId="0">
      <pane xSplit="5" ySplit="3" topLeftCell="F623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407</v>
      </c>
      <c r="C2" s="21">
        <v>407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168380.83+101100.22</f>
        <v>269481.05</v>
      </c>
      <c r="G9" s="18"/>
      <c r="H9" s="18"/>
      <c r="I9" s="18"/>
      <c r="J9" s="67">
        <f>SUM(I438)</f>
        <v>266253.45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11791.03</v>
      </c>
      <c r="G12" s="18">
        <v>0</v>
      </c>
      <c r="H12" s="18">
        <v>989.59</v>
      </c>
      <c r="I12" s="18"/>
      <c r="J12" s="67">
        <f>SUM(I440)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21344.78+113932.19</f>
        <v>135276.97</v>
      </c>
      <c r="G14" s="18">
        <v>21344.78</v>
      </c>
      <c r="H14" s="18">
        <v>113932.19</v>
      </c>
      <c r="I14" s="18"/>
      <c r="J14" s="67">
        <f>SUM(I442)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416549.05000000005</v>
      </c>
      <c r="G19" s="41">
        <f>SUM(G9:G18)</f>
        <v>21344.78</v>
      </c>
      <c r="H19" s="41">
        <f>SUM(H9:H18)</f>
        <v>114921.78</v>
      </c>
      <c r="I19" s="41">
        <f>SUM(I9:I18)</f>
        <v>0</v>
      </c>
      <c r="J19" s="41">
        <f>SUM(J9:J18)</f>
        <v>266253.45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989.59</v>
      </c>
      <c r="G22" s="18">
        <v>21344.78</v>
      </c>
      <c r="H22" s="18">
        <v>113932.19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142128.39000000001</v>
      </c>
      <c r="G28" s="18"/>
      <c r="H28" s="18">
        <v>989.59</v>
      </c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1960.25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145078.23000000001</v>
      </c>
      <c r="G32" s="41">
        <f>SUM(G22:G31)</f>
        <v>21344.78</v>
      </c>
      <c r="H32" s="41">
        <f>SUM(H22:H31)</f>
        <v>114921.78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266253.45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50000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0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>
        <v>47118</v>
      </c>
      <c r="G47" s="18"/>
      <c r="H47" s="18"/>
      <c r="I47" s="18"/>
      <c r="J47" s="13">
        <f>SUM(I458)</f>
        <v>0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0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174352.82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0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271470.82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266253.45</v>
      </c>
      <c r="K50" s="45" t="s">
        <v>289</v>
      </c>
      <c r="L50" s="45" t="s">
        <v>289</v>
      </c>
      <c r="N50" s="181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416549.05000000005</v>
      </c>
      <c r="G51" s="41">
        <f>G50+G32</f>
        <v>21344.78</v>
      </c>
      <c r="H51" s="41">
        <f>H50+H32</f>
        <v>114921.78</v>
      </c>
      <c r="I51" s="41">
        <f>I50+I32</f>
        <v>0</v>
      </c>
      <c r="J51" s="41">
        <f>J50+J32</f>
        <v>266253.45</v>
      </c>
      <c r="K51" s="45" t="s">
        <v>289</v>
      </c>
      <c r="L51" s="45" t="s">
        <v>289</v>
      </c>
      <c r="M51" s="8"/>
      <c r="N51" s="270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0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0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0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0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1648066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0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1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1648066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1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0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1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0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713347.66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>
        <v>231563</v>
      </c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>
        <v>1829</v>
      </c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181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946739.66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0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0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0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0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0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0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0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2005.6</v>
      </c>
      <c r="G95" s="18"/>
      <c r="H95" s="18"/>
      <c r="I95" s="18"/>
      <c r="J95" s="18">
        <v>185.54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67960.83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10000.08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/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0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12005.68</v>
      </c>
      <c r="G110" s="41">
        <f>SUM(G95:G109)</f>
        <v>67960.83</v>
      </c>
      <c r="H110" s="41">
        <f>SUM(H95:H109)</f>
        <v>0</v>
      </c>
      <c r="I110" s="41">
        <f>SUM(I95:I109)</f>
        <v>0</v>
      </c>
      <c r="J110" s="41">
        <f>SUM(J95:J109)</f>
        <v>185.54</v>
      </c>
      <c r="K110" s="45" t="s">
        <v>289</v>
      </c>
      <c r="L110" s="45" t="s">
        <v>289</v>
      </c>
      <c r="N110" s="181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2606811.3400000003</v>
      </c>
      <c r="G111" s="41">
        <f>G59+G110</f>
        <v>67960.83</v>
      </c>
      <c r="H111" s="41">
        <f>H59+H78+H93+H110</f>
        <v>0</v>
      </c>
      <c r="I111" s="41">
        <f>I59+I110</f>
        <v>0</v>
      </c>
      <c r="J111" s="41">
        <f>J59+J110</f>
        <v>185.54</v>
      </c>
      <c r="K111" s="45" t="s">
        <v>289</v>
      </c>
      <c r="L111" s="45" t="s">
        <v>289</v>
      </c>
      <c r="M111" s="8"/>
      <c r="N111" s="270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0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0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0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0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2666064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236634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0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2902698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0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0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20571.43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0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0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10994.6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2531.31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0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>
        <v>92.8</v>
      </c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0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31658.829999999998</v>
      </c>
      <c r="G135" s="41">
        <f>SUM(G122:G134)</f>
        <v>2531.31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0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0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2934356.83</v>
      </c>
      <c r="G139" s="41">
        <f>G120+SUM(G135:G136)</f>
        <v>2531.31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0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0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0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0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0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0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0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227676.31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71586.539999999994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117733.75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>
        <v>105578.55</v>
      </c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28120.66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133699.21</v>
      </c>
      <c r="G161" s="41">
        <f>SUM(G149:G160)</f>
        <v>117733.75</v>
      </c>
      <c r="H161" s="41">
        <f>SUM(H149:H160)</f>
        <v>299262.84999999998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0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0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628.29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134327.5</v>
      </c>
      <c r="G168" s="41">
        <f>G146+G161+SUM(G162:G167)</f>
        <v>117733.75</v>
      </c>
      <c r="H168" s="41">
        <f>H146+H161+SUM(H162:H167)</f>
        <v>299262.84999999998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0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0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0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0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0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>
        <v>7815</v>
      </c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7815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0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0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6535.92</v>
      </c>
      <c r="H178" s="18"/>
      <c r="I178" s="18"/>
      <c r="J178" s="18">
        <v>75000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6535.92</v>
      </c>
      <c r="H182" s="41">
        <f>SUM(H178:H181)</f>
        <v>0</v>
      </c>
      <c r="I182" s="41">
        <f>SUM(I178:I181)</f>
        <v>0</v>
      </c>
      <c r="J182" s="41">
        <f>SUM(J178:J181)</f>
        <v>75000</v>
      </c>
      <c r="K182" s="45" t="s">
        <v>289</v>
      </c>
      <c r="L182" s="45" t="s">
        <v>289</v>
      </c>
      <c r="M182" s="8"/>
      <c r="N182" s="270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0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181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181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0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7815</v>
      </c>
      <c r="G191" s="41">
        <f>G182+SUM(G187:G190)</f>
        <v>6535.92</v>
      </c>
      <c r="H191" s="41">
        <f>+H182+SUM(H187:H190)</f>
        <v>0</v>
      </c>
      <c r="I191" s="41">
        <f>I176+I182+SUM(I187:I190)</f>
        <v>0</v>
      </c>
      <c r="J191" s="41">
        <f>J182</f>
        <v>75000</v>
      </c>
      <c r="K191" s="45" t="s">
        <v>289</v>
      </c>
      <c r="L191" s="45" t="s">
        <v>289</v>
      </c>
      <c r="M191" s="8"/>
      <c r="N191" s="270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5683310.6699999999</v>
      </c>
      <c r="G192" s="47">
        <f>G111+G139+G168+G191</f>
        <v>194761.81000000003</v>
      </c>
      <c r="H192" s="47">
        <f>H111+H139+H168+H191</f>
        <v>299262.84999999998</v>
      </c>
      <c r="I192" s="47">
        <f>I111+I139+I168+I191</f>
        <v>0</v>
      </c>
      <c r="J192" s="47">
        <f>J111+J139+J191</f>
        <v>75185.539999999994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0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0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0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588435.71+317474.01+1440+11050+1225+15400.74+530.52+25979.97+6423.5+14953.45+7073.45</f>
        <v>989986.34999999986</v>
      </c>
      <c r="G196" s="18">
        <f>106199.1+77795.05+2646.72+1307.33+281.13+224.91+48445.38+23944.45+118.8+66586.67+35319.77+1298.59+2160+500+2623.31+1596.24+182.1+108.66+297.5+130.73</f>
        <v>371766.44</v>
      </c>
      <c r="H196" s="18">
        <f>125+228.55+2317.79+1368.37+4057.3+2361.46+172.3+350.29+689.47+30.1+200</f>
        <v>11900.630000000001</v>
      </c>
      <c r="I196" s="18">
        <f>66.46+5185.47+75+5253.78+1281.22+603.27+261.52+505.83+902.91+618.19+1486.13+351.66+200+317.24+1196.05+152.49+2187+1925.28+1562.66+462.59+88.02+47.17+355.17+122.39+250+355.49+51.93+230.64+313+1228.92+649.2+839.5+320.97+1184.85+1049.99+764.75+300.34+200+4655.96+2618.99+1196+65.69+283.01+399+190.97+331.99+100+150</f>
        <v>42938.69</v>
      </c>
      <c r="J196" s="18">
        <f>326.5+150+1714.4+1302.32+314.93+3036.91+4800+104+581.95</f>
        <v>12331.01</v>
      </c>
      <c r="K196" s="18">
        <f>80+165+100+78.23</f>
        <v>423.23</v>
      </c>
      <c r="L196" s="19">
        <f>SUM(F196:K196)</f>
        <v>1429346.3499999996</v>
      </c>
      <c r="M196" s="8"/>
      <c r="N196" s="270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68348.9+50567.3+40508.65+43315.92+8790+950+1934.94+5201.7+1754.35+14951.54+7145.88</f>
        <v>243469.18000000005</v>
      </c>
      <c r="G197" s="18">
        <f>17922.63+12939.51+358.5+290.64+8830.09+7314.29+7495.22+5822.68+150+545+500+800+20.85+26.44+1144.03+546.6+300+100+4.03+1.27-108.42</f>
        <v>65003.359999999993</v>
      </c>
      <c r="H197" s="18">
        <f>40925.37+46261.68+13376.68+28839.84+69346.48+116452.46+1389.5</f>
        <v>316592.01</v>
      </c>
      <c r="I197" s="18">
        <f>411.01+71.92+482.94+434.1+453.5</f>
        <v>1853.47</v>
      </c>
      <c r="J197" s="18"/>
      <c r="K197" s="18"/>
      <c r="L197" s="19">
        <f>SUM(F197:K197)</f>
        <v>626918.02</v>
      </c>
      <c r="M197" s="8"/>
      <c r="N197" s="270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0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f>-94.63+7596+10329.4+6957.38</f>
        <v>24788.15</v>
      </c>
      <c r="G199" s="18">
        <f>581.12+776.29+170.29+189.14+161.94+307.78+40+50+5.27+6.09+516.63+419.9</f>
        <v>3224.45</v>
      </c>
      <c r="H199" s="18">
        <f>2800+3202.55</f>
        <v>6002.55</v>
      </c>
      <c r="I199" s="18">
        <f>400+1819.72</f>
        <v>2219.7200000000003</v>
      </c>
      <c r="J199" s="18">
        <f>49.25</f>
        <v>49.25</v>
      </c>
      <c r="K199" s="18">
        <f>645</f>
        <v>645</v>
      </c>
      <c r="L199" s="19">
        <f>SUM(F199:K199)</f>
        <v>36929.120000000003</v>
      </c>
      <c r="M199" s="8"/>
      <c r="N199" s="270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0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41664.22+17020.84+9215.01+1922.1+32581.03+21404.67+28220.86+18813.92</f>
        <v>170842.64999999997</v>
      </c>
      <c r="G201" s="18">
        <f>4797.37+2764.35+224.33+166.46+3085.28+2105.48+810.79+4877.48+1923.1-31.04+100-64.76+7.72+1215.2+6925.96+21+116.56+2475.11+1532.72+326.48+2418.32+200+90+11.75+6.99+3702.19+2467.69+148.05+98.7+2076.38+1384.05+3189.32+2125.84+38.71+9.14-39.01-26+643.08+209</f>
        <v>52133.790000000008</v>
      </c>
      <c r="H201" s="18">
        <f>840+639.38+107.95+519.8+150+170</f>
        <v>2427.13</v>
      </c>
      <c r="I201" s="18">
        <f>646.05+50.15+925.11+661.99</f>
        <v>2283.3000000000002</v>
      </c>
      <c r="J201" s="18">
        <f>106.04</f>
        <v>106.04</v>
      </c>
      <c r="K201" s="18">
        <f>100</f>
        <v>100</v>
      </c>
      <c r="L201" s="19">
        <f t="shared" ref="L201:L207" si="0">SUM(F201:K201)</f>
        <v>227892.90999999997</v>
      </c>
      <c r="M201" s="8"/>
      <c r="N201" s="270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13716.15+10972.73+15920.14+23813.05+19158.46</f>
        <v>83580.53</v>
      </c>
      <c r="G202" s="18">
        <f>5468.36+4372.89+77.02+61.54+2202.5+787.61+1558.98+1247.08+258.79+207.03+188.27+40.61-7.47-2.44+2273.28+1818.2+111.78+89.42+1727.82+1390.42+1962.6+1569.73+1504.72+1196.59+87.11+89.69-5.94-6</f>
        <v>30270.190000000002</v>
      </c>
      <c r="H202" s="18">
        <f>4789.46+328.5+1000+976.72+780.12</f>
        <v>7874.8</v>
      </c>
      <c r="I202" s="18">
        <f>110.82+468.93+189.14+1694.22+1521.38+200</f>
        <v>4184.49</v>
      </c>
      <c r="J202" s="18"/>
      <c r="K202" s="18"/>
      <c r="L202" s="19">
        <f t="shared" si="0"/>
        <v>125910.01000000001</v>
      </c>
      <c r="M202" s="8"/>
      <c r="N202" s="270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2752.8+505.23</f>
        <v>3258.03</v>
      </c>
      <c r="G203" s="18">
        <f>217.63</f>
        <v>217.63</v>
      </c>
      <c r="H203" s="18">
        <f>15837.65+174877.35</f>
        <v>190715</v>
      </c>
      <c r="I203" s="18"/>
      <c r="J203" s="18"/>
      <c r="K203" s="18">
        <f>3039.71+836.33+669.07</f>
        <v>4545.1099999999997</v>
      </c>
      <c r="L203" s="19">
        <f t="shared" si="0"/>
        <v>198735.77</v>
      </c>
      <c r="M203" s="8"/>
      <c r="N203" s="270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f>75190+38948.52+13499.97+32560.8+15061.58+6874.97+1915.04+597.33+499.1+16875.25+13500.26+9054.78+7221.99+2100+1680</f>
        <v>235579.58999999997</v>
      </c>
      <c r="G204" s="18">
        <f>17635.92+11839.08+553.76+441.2+8814.62+5246.03+2867.65+1338.16+8496.54+5925.74+619+400+200+37.02+5.29+6180.89+4926.56-483-453+147.34+117.61+2108.47+1684.99+796.88+635.5+1906.47+1524.97-25.1-20.9+61.19+68.95-15.18-13.41</f>
        <v>83569.24000000002</v>
      </c>
      <c r="H204" s="18">
        <f>98.9+993.82+404.95+141.13+88.39+466.52+174.03+288.93+231.15+1000+309.2+587.94+359.84</f>
        <v>5144.8000000000011</v>
      </c>
      <c r="I204" s="18">
        <f>600+664.84+250+218.56+273.02</f>
        <v>2006.42</v>
      </c>
      <c r="J204" s="18">
        <f>77.17+199.96</f>
        <v>277.13</v>
      </c>
      <c r="K204" s="18">
        <f>2913.98+2131.08+132.82+119.59</f>
        <v>5297.4699999999993</v>
      </c>
      <c r="L204" s="19">
        <f t="shared" si="0"/>
        <v>331874.64999999991</v>
      </c>
      <c r="M204" s="8"/>
      <c r="N204" s="270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0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65052.02+31848.65+6000+8374.08+2427.37+2241.64+1653.79+1324.57+619.06</f>
        <v>119541.18</v>
      </c>
      <c r="G206" s="18">
        <f>10728.77+14208.97+363.21+179.58+6299.93+2791.22+5838.03+2856.8+300+200+111.05+68.75</f>
        <v>43946.310000000005</v>
      </c>
      <c r="H206" s="18">
        <f>420.75+3684.75+1350.37+2761.5+2209.2+28996.69+15103.95+6367.9+5094.32+948.88+1136.77+7.5+3.23</f>
        <v>68085.81</v>
      </c>
      <c r="I206" s="18">
        <f>11675.37+5859.61+14693.3+14937.11+1283.58+366.08+24776.92+24145.66</f>
        <v>97737.63</v>
      </c>
      <c r="J206" s="18">
        <v>6922</v>
      </c>
      <c r="K206" s="18"/>
      <c r="L206" s="19">
        <f t="shared" si="0"/>
        <v>336232.93</v>
      </c>
      <c r="M206" s="8"/>
      <c r="N206" s="270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8074.4+2528.64+4126.6+6500+56413.14+3538.48+1216.25</f>
        <v>82397.509999999995</v>
      </c>
      <c r="I207" s="18"/>
      <c r="J207" s="18"/>
      <c r="K207" s="18"/>
      <c r="L207" s="19">
        <f t="shared" si="0"/>
        <v>82397.509999999995</v>
      </c>
      <c r="M207" s="8"/>
      <c r="N207" s="270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0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0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1871045.6599999995</v>
      </c>
      <c r="G210" s="41">
        <f t="shared" si="1"/>
        <v>650131.41000000015</v>
      </c>
      <c r="H210" s="41">
        <f t="shared" si="1"/>
        <v>691140.24</v>
      </c>
      <c r="I210" s="41">
        <f t="shared" si="1"/>
        <v>153223.72</v>
      </c>
      <c r="J210" s="41">
        <f t="shared" si="1"/>
        <v>19685.43</v>
      </c>
      <c r="K210" s="41">
        <f t="shared" si="1"/>
        <v>11010.81</v>
      </c>
      <c r="L210" s="41">
        <f t="shared" si="1"/>
        <v>3396237.27</v>
      </c>
      <c r="M210" s="8"/>
      <c r="N210" s="270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0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0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0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0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0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0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0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0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0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0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0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0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0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0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0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0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0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0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0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0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0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f>555494.95+2175+455.55+607.85+30576.48+15803.86</f>
        <v>605113.68999999994</v>
      </c>
      <c r="G232" s="18">
        <f>99070.19+2497.06+297.21+44231.8+62538.14+500+2495.04+171.35+173.27</f>
        <v>211974.06000000003</v>
      </c>
      <c r="H232" s="18">
        <f>27795+125+46.76+398+450.22+1500+3130.27+394.59+200+140+1539.9</f>
        <v>35719.74</v>
      </c>
      <c r="I232" s="18">
        <f>368.51+4916.69+299.49+485.73+3003.14+158+77.98+3981.23+1948.58+3407.75+422.37+25+127.5+658+1501.17+200+1798.23+527.29+1073.19+649.86+325.21+225+45.86+908.91+3358+980+79.69+200+46.9-1000</f>
        <v>30799.279999999999</v>
      </c>
      <c r="J232" s="18">
        <f>1459.43+1150+899+4800+75+1500</f>
        <v>9883.43</v>
      </c>
      <c r="K232" s="18">
        <f>235+50+1870+100+100+155+73</f>
        <v>2583</v>
      </c>
      <c r="L232" s="19">
        <f>SUM(F232:K232)</f>
        <v>896073.20000000007</v>
      </c>
      <c r="M232" s="8"/>
      <c r="N232" s="270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f>77507.2+31350.85+2565.06+3913.97+5420.18</f>
        <v>120757.25999999998</v>
      </c>
      <c r="G233" s="18">
        <f>6429.57+396.12+8666.51+8726.07+837.21-80.32+414.52</f>
        <v>25389.68</v>
      </c>
      <c r="H233" s="18">
        <f>41620.5+25.15+14451.63</f>
        <v>56097.279999999999</v>
      </c>
      <c r="I233" s="18">
        <f>59.92+3106.53</f>
        <v>3166.4500000000003</v>
      </c>
      <c r="J233" s="18"/>
      <c r="K233" s="18"/>
      <c r="L233" s="19">
        <f>SUM(F233:K233)</f>
        <v>205410.66999999998</v>
      </c>
      <c r="M233" s="8"/>
      <c r="N233" s="270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v>28709.01</v>
      </c>
      <c r="I234" s="18"/>
      <c r="J234" s="18"/>
      <c r="K234" s="18"/>
      <c r="L234" s="19">
        <f>SUM(F234:K234)</f>
        <v>28709.01</v>
      </c>
      <c r="M234" s="8"/>
      <c r="N234" s="270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f>-125.43+33402.6</f>
        <v>33277.17</v>
      </c>
      <c r="G235" s="18">
        <f>2544.58+2055.88+200+25.81</f>
        <v>4826.2700000000004</v>
      </c>
      <c r="H235" s="18">
        <f>10977.45+818.33+991.42</f>
        <v>12787.2</v>
      </c>
      <c r="I235" s="18">
        <f>4015</f>
        <v>4015</v>
      </c>
      <c r="J235" s="18"/>
      <c r="K235" s="18">
        <f>2195</f>
        <v>2195</v>
      </c>
      <c r="L235" s="19">
        <f>SUM(F235:K235)</f>
        <v>57100.639999999999</v>
      </c>
      <c r="M235" s="8"/>
      <c r="N235" s="270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0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f>22562.54+12307.76+2577.9+28364.05+2475.54</f>
        <v>68287.789999999994</v>
      </c>
      <c r="G237" s="18">
        <f>3665.22+222.1+2800.6+1083.28+2549.82+200+11.57+9180.23+154.44+2031.76+3205.65+100+20.56+324.54+12.99+182.11+279.53+14.62-3.42+172.86</f>
        <v>26208.460000000003</v>
      </c>
      <c r="H237" s="18">
        <f>639.37+107.95+913.48+20</f>
        <v>1680.8000000000002</v>
      </c>
      <c r="I237" s="18">
        <f>95.49+739.85+484.27</f>
        <v>1319.6100000000001</v>
      </c>
      <c r="J237" s="18">
        <f>140.56</f>
        <v>140.56</v>
      </c>
      <c r="K237" s="18">
        <v>100</v>
      </c>
      <c r="L237" s="19">
        <f t="shared" ref="L237:L243" si="4">SUM(F237:K237)</f>
        <v>97737.22</v>
      </c>
      <c r="M237" s="8"/>
      <c r="N237" s="270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f>14499.82+25019.62</f>
        <v>39519.440000000002</v>
      </c>
      <c r="G238" s="18">
        <f>5782.64+81.22+1042.11+1649.99+273.58+47.59-2.73+2405.57+118.16+1815.54+2076.5+1572.2+86.44-7.06</f>
        <v>16941.75</v>
      </c>
      <c r="H238" s="18">
        <f>1954.5+1632.53</f>
        <v>3587.0299999999997</v>
      </c>
      <c r="I238" s="18">
        <f>35.3+250.51+3407.47+290</f>
        <v>3983.2799999999997</v>
      </c>
      <c r="J238" s="18">
        <f>455</f>
        <v>455</v>
      </c>
      <c r="K238" s="18"/>
      <c r="L238" s="19">
        <f t="shared" si="4"/>
        <v>64486.5</v>
      </c>
      <c r="M238" s="8"/>
      <c r="N238" s="270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f>1687.2</f>
        <v>1687.2</v>
      </c>
      <c r="G239" s="18">
        <f>133.38</f>
        <v>133.38</v>
      </c>
      <c r="H239" s="18">
        <f>9706.95+107162.89</f>
        <v>116869.84</v>
      </c>
      <c r="I239" s="18"/>
      <c r="J239" s="18"/>
      <c r="K239" s="18">
        <f>1863.04+884.12</f>
        <v>2747.16</v>
      </c>
      <c r="L239" s="19">
        <f t="shared" si="4"/>
        <v>121437.58</v>
      </c>
      <c r="M239" s="8"/>
      <c r="N239" s="270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f>51594.48+16500.06+19965.22+2409.99+831.85+17839.58+9560.5+2220</f>
        <v>120921.68000000002</v>
      </c>
      <c r="G240" s="18">
        <f>15695.95+570.76+6850.12+1773.76+7695.17+22.2+300+34.37+6528.47-444+155.53+2229.12+841.37+2016.78-14+58.97-16.7</f>
        <v>44297.870000000017</v>
      </c>
      <c r="H240" s="18">
        <f>131.09+404.95+119.75+532.8+305.43+445.44</f>
        <v>1939.46</v>
      </c>
      <c r="I240" s="18">
        <f>895.48+202.94</f>
        <v>1098.42</v>
      </c>
      <c r="J240" s="18">
        <f>100</f>
        <v>100</v>
      </c>
      <c r="K240" s="18">
        <f>3138.44+136.59</f>
        <v>3275.03</v>
      </c>
      <c r="L240" s="19">
        <f t="shared" si="4"/>
        <v>171632.46000000005</v>
      </c>
      <c r="M240" s="8"/>
      <c r="N240" s="270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0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f>42201.98+3085.2+1669.7+1446.99</f>
        <v>48403.869999999995</v>
      </c>
      <c r="G242" s="18">
        <f>18825.54+237.93+3697.07+3843.15+200+79.32</f>
        <v>26883.010000000002</v>
      </c>
      <c r="H242" s="18">
        <f>1790.04+2919.3+20021.45+6731.78+1506.05+4.27</f>
        <v>32972.89</v>
      </c>
      <c r="I242" s="18">
        <f>7867.54+19800.34+485.24+32007.03</f>
        <v>60160.15</v>
      </c>
      <c r="J242" s="18"/>
      <c r="K242" s="18"/>
      <c r="L242" s="19">
        <f t="shared" si="4"/>
        <v>168419.92</v>
      </c>
      <c r="M242" s="8"/>
      <c r="N242" s="270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f>8311.03+34575.79+45494.47+4340.61</f>
        <v>92721.900000000009</v>
      </c>
      <c r="I243" s="18"/>
      <c r="J243" s="18"/>
      <c r="K243" s="18"/>
      <c r="L243" s="19">
        <f t="shared" si="4"/>
        <v>92721.900000000009</v>
      </c>
      <c r="M243" s="8"/>
      <c r="N243" s="270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0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0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1037968.1000000001</v>
      </c>
      <c r="G246" s="41">
        <f t="shared" si="5"/>
        <v>356654.48000000004</v>
      </c>
      <c r="H246" s="41">
        <f t="shared" si="5"/>
        <v>383085.14999999997</v>
      </c>
      <c r="I246" s="41">
        <f t="shared" si="5"/>
        <v>104542.19</v>
      </c>
      <c r="J246" s="41">
        <f t="shared" si="5"/>
        <v>10578.99</v>
      </c>
      <c r="K246" s="41">
        <f t="shared" si="5"/>
        <v>10900.19</v>
      </c>
      <c r="L246" s="41">
        <f t="shared" si="5"/>
        <v>1903729.0999999999</v>
      </c>
      <c r="M246" s="8"/>
      <c r="N246" s="270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0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0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0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0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103750</v>
      </c>
      <c r="I254" s="18"/>
      <c r="J254" s="18"/>
      <c r="K254" s="18"/>
      <c r="L254" s="19">
        <f t="shared" si="6"/>
        <v>103750</v>
      </c>
      <c r="M254" s="8"/>
      <c r="N254" s="270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103750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103750</v>
      </c>
      <c r="M255" s="8"/>
      <c r="N255" s="270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2909013.76</v>
      </c>
      <c r="G256" s="41">
        <f t="shared" si="8"/>
        <v>1006785.8900000001</v>
      </c>
      <c r="H256" s="41">
        <f t="shared" si="8"/>
        <v>1177975.3899999999</v>
      </c>
      <c r="I256" s="41">
        <f t="shared" si="8"/>
        <v>257765.91</v>
      </c>
      <c r="J256" s="41">
        <f t="shared" si="8"/>
        <v>30264.42</v>
      </c>
      <c r="K256" s="41">
        <f t="shared" si="8"/>
        <v>21911</v>
      </c>
      <c r="L256" s="41">
        <f t="shared" si="8"/>
        <v>5403716.3700000001</v>
      </c>
      <c r="M256" s="8"/>
      <c r="N256" s="270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0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0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48571.43</v>
      </c>
      <c r="L259" s="19">
        <f>SUM(F259:K259)</f>
        <v>48571.43</v>
      </c>
      <c r="M259" s="8"/>
      <c r="N259" s="270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7815.5</v>
      </c>
      <c r="L260" s="19">
        <f>SUM(F260:K260)</f>
        <v>7815.5</v>
      </c>
      <c r="N260" s="181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181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6535.92</v>
      </c>
      <c r="L262" s="19">
        <f>SUM(F262:K262)</f>
        <v>6535.92</v>
      </c>
      <c r="N262" s="181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 t="s">
        <v>302</v>
      </c>
      <c r="L263" s="19">
        <f t="shared" ref="L263:L269" si="9">SUM(F263:K263)</f>
        <v>0</v>
      </c>
      <c r="N263" s="181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181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75000</v>
      </c>
      <c r="L265" s="19">
        <f t="shared" si="9"/>
        <v>75000</v>
      </c>
      <c r="N265" s="181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181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181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137922.85</v>
      </c>
      <c r="L269" s="41">
        <f t="shared" si="9"/>
        <v>137922.85</v>
      </c>
      <c r="N269" s="181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2909013.76</v>
      </c>
      <c r="G270" s="42">
        <f t="shared" si="11"/>
        <v>1006785.8900000001</v>
      </c>
      <c r="H270" s="42">
        <f t="shared" si="11"/>
        <v>1177975.3899999999</v>
      </c>
      <c r="I270" s="42">
        <f t="shared" si="11"/>
        <v>257765.91</v>
      </c>
      <c r="J270" s="42">
        <f t="shared" si="11"/>
        <v>30264.42</v>
      </c>
      <c r="K270" s="42">
        <f t="shared" si="11"/>
        <v>159833.85</v>
      </c>
      <c r="L270" s="42">
        <f t="shared" si="11"/>
        <v>5541639.2199999997</v>
      </c>
      <c r="M270" s="8"/>
      <c r="N270" s="270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0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0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0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0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18677.24+139166.29+12330+31+2500</f>
        <v>172704.53</v>
      </c>
      <c r="G275" s="18">
        <f>1076.96+15.5+1409.05+1936.51+20462.13+587.98+10250.64+12525.78+863.5+977.44+2.37+3.49+191.25</f>
        <v>50302.600000000006</v>
      </c>
      <c r="H275" s="18">
        <f>1224.23+2240.06+17838.24+4975.39+20487.35+2968.65</f>
        <v>49733.920000000006</v>
      </c>
      <c r="I275" s="18">
        <f>363.35+8382.53+326.69</f>
        <v>9072.5700000000015</v>
      </c>
      <c r="J275" s="18">
        <f>2834.27</f>
        <v>2834.27</v>
      </c>
      <c r="K275" s="18"/>
      <c r="L275" s="19">
        <f>SUM(F275:K275)</f>
        <v>284647.89</v>
      </c>
      <c r="M275" s="8"/>
      <c r="N275" s="270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0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0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0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0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  <c r="N281" s="270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0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0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0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0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172704.53</v>
      </c>
      <c r="G289" s="42">
        <f t="shared" si="13"/>
        <v>50302.600000000006</v>
      </c>
      <c r="H289" s="42">
        <f t="shared" si="13"/>
        <v>49733.920000000006</v>
      </c>
      <c r="I289" s="42">
        <f t="shared" si="13"/>
        <v>9072.5700000000015</v>
      </c>
      <c r="J289" s="42">
        <f t="shared" si="13"/>
        <v>2834.27</v>
      </c>
      <c r="K289" s="42">
        <f t="shared" si="13"/>
        <v>0</v>
      </c>
      <c r="L289" s="41">
        <f t="shared" si="13"/>
        <v>284647.89</v>
      </c>
      <c r="M289" s="8"/>
      <c r="N289" s="270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0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0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0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0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0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0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0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0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0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0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0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0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0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181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0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0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0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0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f>2251+1667</f>
        <v>3918</v>
      </c>
      <c r="G313" s="18">
        <f>172.3+254.45+127.53+24.86</f>
        <v>579.14</v>
      </c>
      <c r="H313" s="18">
        <f>529.51+4000</f>
        <v>4529.51</v>
      </c>
      <c r="I313" s="18"/>
      <c r="J313" s="18">
        <v>-2400</v>
      </c>
      <c r="K313" s="18"/>
      <c r="L313" s="19">
        <f>SUM(F313:K313)</f>
        <v>6626.6500000000015</v>
      </c>
      <c r="M313" s="8"/>
      <c r="N313" s="270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>
        <f>-11.87-0.14-0.04</f>
        <v>-12.049999999999999</v>
      </c>
      <c r="H314" s="18"/>
      <c r="I314" s="18"/>
      <c r="J314" s="18"/>
      <c r="K314" s="18"/>
      <c r="L314" s="19">
        <f>SUM(F314:K314)</f>
        <v>-12.049999999999999</v>
      </c>
      <c r="M314" s="8"/>
      <c r="N314" s="270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0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0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0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0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0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0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0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3918</v>
      </c>
      <c r="G327" s="42">
        <f t="shared" si="17"/>
        <v>567.09</v>
      </c>
      <c r="H327" s="42">
        <f t="shared" si="17"/>
        <v>4529.51</v>
      </c>
      <c r="I327" s="42">
        <f t="shared" si="17"/>
        <v>0</v>
      </c>
      <c r="J327" s="42">
        <f t="shared" si="17"/>
        <v>-2400</v>
      </c>
      <c r="K327" s="42">
        <f t="shared" si="17"/>
        <v>0</v>
      </c>
      <c r="L327" s="41">
        <f t="shared" si="17"/>
        <v>6614.6000000000013</v>
      </c>
      <c r="M327" s="8"/>
      <c r="N327" s="270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0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0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0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0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>
        <f>6545</f>
        <v>6545</v>
      </c>
      <c r="G332" s="18">
        <f>468.68+739.22</f>
        <v>1207.9000000000001</v>
      </c>
      <c r="H332" s="18"/>
      <c r="I332" s="18">
        <f>247.46</f>
        <v>247.46</v>
      </c>
      <c r="J332" s="18"/>
      <c r="K332" s="18"/>
      <c r="L332" s="19">
        <f t="shared" si="18"/>
        <v>8000.36</v>
      </c>
      <c r="M332" s="8"/>
      <c r="N332" s="270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6545</v>
      </c>
      <c r="G336" s="41">
        <f t="shared" si="19"/>
        <v>1207.9000000000001</v>
      </c>
      <c r="H336" s="41">
        <f t="shared" si="19"/>
        <v>0</v>
      </c>
      <c r="I336" s="41">
        <f t="shared" si="19"/>
        <v>247.46</v>
      </c>
      <c r="J336" s="41">
        <f t="shared" si="19"/>
        <v>0</v>
      </c>
      <c r="K336" s="41">
        <f t="shared" si="19"/>
        <v>0</v>
      </c>
      <c r="L336" s="41">
        <f t="shared" si="18"/>
        <v>8000.36</v>
      </c>
      <c r="M336" s="8"/>
      <c r="N336" s="270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183167.53</v>
      </c>
      <c r="G337" s="41">
        <f t="shared" si="20"/>
        <v>52077.590000000004</v>
      </c>
      <c r="H337" s="41">
        <f t="shared" si="20"/>
        <v>54263.430000000008</v>
      </c>
      <c r="I337" s="41">
        <f t="shared" si="20"/>
        <v>9320.0300000000007</v>
      </c>
      <c r="J337" s="41">
        <f t="shared" si="20"/>
        <v>434.27</v>
      </c>
      <c r="K337" s="41">
        <f t="shared" si="20"/>
        <v>0</v>
      </c>
      <c r="L337" s="41">
        <f t="shared" si="20"/>
        <v>299262.84999999998</v>
      </c>
      <c r="M337" s="8"/>
      <c r="N337" s="270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0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0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0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17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0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0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0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0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0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183167.53</v>
      </c>
      <c r="G351" s="41">
        <f>G337</f>
        <v>52077.590000000004</v>
      </c>
      <c r="H351" s="41">
        <f>H337</f>
        <v>54263.430000000008</v>
      </c>
      <c r="I351" s="41">
        <f>I337</f>
        <v>9320.0300000000007</v>
      </c>
      <c r="J351" s="41">
        <f>J337</f>
        <v>434.27</v>
      </c>
      <c r="K351" s="47">
        <f>K337+K350</f>
        <v>0</v>
      </c>
      <c r="L351" s="41">
        <f>L337+L350</f>
        <v>299262.84999999998</v>
      </c>
      <c r="M351" s="52"/>
      <c r="N351" s="217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0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0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0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0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>
        <v>118980.04</v>
      </c>
      <c r="I357" s="18"/>
      <c r="J357" s="18">
        <v>1772.28</v>
      </c>
      <c r="K357" s="18"/>
      <c r="L357" s="13">
        <f>SUM(F357:K357)</f>
        <v>120752.31999999999</v>
      </c>
      <c r="N357" s="181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0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>
        <v>72923.25</v>
      </c>
      <c r="I359" s="18"/>
      <c r="J359" s="18">
        <v>1086.24</v>
      </c>
      <c r="K359" s="18"/>
      <c r="L359" s="19">
        <f>SUM(F359:K359)</f>
        <v>74009.490000000005</v>
      </c>
      <c r="M359" s="8"/>
      <c r="N359" s="270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0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191903.28999999998</v>
      </c>
      <c r="I361" s="47">
        <f t="shared" si="22"/>
        <v>0</v>
      </c>
      <c r="J361" s="47">
        <f t="shared" si="22"/>
        <v>2858.52</v>
      </c>
      <c r="K361" s="47">
        <f t="shared" si="22"/>
        <v>0</v>
      </c>
      <c r="L361" s="47">
        <f t="shared" si="22"/>
        <v>194761.81</v>
      </c>
      <c r="M361" s="8"/>
      <c r="N361" s="270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0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0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0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0</v>
      </c>
      <c r="H368" s="47">
        <f>SUM(H366:H367)</f>
        <v>0</v>
      </c>
      <c r="I368" s="47">
        <f>SUM(I366:I367)</f>
        <v>0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0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0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0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0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 t="s">
        <v>287</v>
      </c>
      <c r="G373" s="18"/>
      <c r="H373" s="18"/>
      <c r="I373" s="18"/>
      <c r="J373" s="18"/>
      <c r="K373" s="18"/>
      <c r="L373" s="13">
        <f>SUM(F373:K373)</f>
        <v>0</v>
      </c>
      <c r="M373" s="8"/>
      <c r="N373" s="270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0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0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0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0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0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0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0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0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0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0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0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25000</v>
      </c>
      <c r="H395" s="18">
        <v>139.91999999999999</v>
      </c>
      <c r="I395" s="18"/>
      <c r="J395" s="24" t="s">
        <v>289</v>
      </c>
      <c r="K395" s="24" t="s">
        <v>289</v>
      </c>
      <c r="L395" s="56">
        <f t="shared" si="26"/>
        <v>25139.919999999998</v>
      </c>
      <c r="M395" s="8"/>
      <c r="N395" s="270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50000</v>
      </c>
      <c r="H396" s="18">
        <v>45.62</v>
      </c>
      <c r="I396" s="18"/>
      <c r="J396" s="24" t="s">
        <v>289</v>
      </c>
      <c r="K396" s="24" t="s">
        <v>289</v>
      </c>
      <c r="L396" s="56">
        <f t="shared" si="26"/>
        <v>50045.62</v>
      </c>
      <c r="M396" s="8"/>
      <c r="N396" s="270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0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0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0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75000</v>
      </c>
      <c r="H400" s="47">
        <f>SUM(H394:H399)</f>
        <v>185.54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75185.540000000008</v>
      </c>
      <c r="M400" s="8"/>
      <c r="N400" s="270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0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0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75000</v>
      </c>
      <c r="H407" s="47">
        <f>H392+H400+H406</f>
        <v>185.54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75185.540000000008</v>
      </c>
      <c r="M407" s="8"/>
      <c r="N407" s="270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0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0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0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0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0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17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0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0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0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0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0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0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181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0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0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0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0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0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0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0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>
        <v>266253.45</v>
      </c>
      <c r="H438" s="18"/>
      <c r="I438" s="56">
        <f t="shared" ref="I438:I444" si="33">SUM(F438:H438)</f>
        <v>266253.45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266253.45</v>
      </c>
      <c r="H445" s="13">
        <f>SUM(H438:H444)</f>
        <v>0</v>
      </c>
      <c r="I445" s="13">
        <f>SUM(I438:I444)</f>
        <v>266253.45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0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>
        <v>266253.45</v>
      </c>
      <c r="H455" s="18"/>
      <c r="I455" s="56">
        <f t="shared" si="34"/>
        <v>266253.45</v>
      </c>
      <c r="J455" s="24" t="s">
        <v>289</v>
      </c>
      <c r="K455" s="24" t="s">
        <v>289</v>
      </c>
      <c r="L455" s="24" t="s">
        <v>289</v>
      </c>
      <c r="M455" s="8"/>
      <c r="N455" s="270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17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/>
      <c r="H458" s="18"/>
      <c r="I458" s="56">
        <f t="shared" si="34"/>
        <v>0</v>
      </c>
      <c r="J458" s="24" t="s">
        <v>289</v>
      </c>
      <c r="K458" s="24" t="s">
        <v>289</v>
      </c>
      <c r="L458" s="24" t="s">
        <v>289</v>
      </c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266253.45</v>
      </c>
      <c r="H459" s="83">
        <f>SUM(H453:H458)</f>
        <v>0</v>
      </c>
      <c r="I459" s="83">
        <f>SUM(I453:I458)</f>
        <v>266253.45</v>
      </c>
      <c r="J459" s="24" t="s">
        <v>289</v>
      </c>
      <c r="K459" s="24" t="s">
        <v>289</v>
      </c>
      <c r="L459" s="24" t="s">
        <v>289</v>
      </c>
      <c r="N459" s="217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266253.45</v>
      </c>
      <c r="H460" s="42">
        <f>H451+H459</f>
        <v>0</v>
      </c>
      <c r="I460" s="42">
        <f>I451+I459</f>
        <v>266253.45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17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17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17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129799.37</v>
      </c>
      <c r="G464" s="18"/>
      <c r="H464" s="18"/>
      <c r="I464" s="18"/>
      <c r="J464" s="18">
        <v>191067.91</v>
      </c>
      <c r="K464" s="24" t="s">
        <v>289</v>
      </c>
      <c r="L464" s="24" t="s">
        <v>289</v>
      </c>
      <c r="N464" s="217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5878072.48-194761.81</f>
        <v>5683310.6700000009</v>
      </c>
      <c r="G467" s="18">
        <v>194761.81</v>
      </c>
      <c r="H467" s="18">
        <f>227676.31+71586.54</f>
        <v>299262.84999999998</v>
      </c>
      <c r="I467" s="18"/>
      <c r="J467" s="18">
        <v>75185.539999999994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5683310.6700000009</v>
      </c>
      <c r="G469" s="53">
        <f>SUM(G467:G468)</f>
        <v>194761.81</v>
      </c>
      <c r="H469" s="53">
        <f>SUM(H467:H468)</f>
        <v>299262.84999999998</v>
      </c>
      <c r="I469" s="53">
        <f>SUM(I467:I468)</f>
        <v>0</v>
      </c>
      <c r="J469" s="53">
        <f>SUM(J467:J468)</f>
        <v>75185.539999999994</v>
      </c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5541639.2199999997</v>
      </c>
      <c r="G471" s="18">
        <v>194761.81</v>
      </c>
      <c r="H471" s="18">
        <v>299262.84999999998</v>
      </c>
      <c r="I471" s="18"/>
      <c r="J471" s="18">
        <v>0</v>
      </c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5541639.2199999997</v>
      </c>
      <c r="G473" s="53">
        <f>SUM(G471:G472)</f>
        <v>194761.81</v>
      </c>
      <c r="H473" s="53">
        <f>SUM(H471:H472)</f>
        <v>299262.84999999998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271470.82000000123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266253.45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17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17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17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17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17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17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17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17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17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17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14</v>
      </c>
      <c r="G489" s="154">
        <v>10</v>
      </c>
      <c r="H489" s="154"/>
      <c r="I489" s="154"/>
      <c r="J489" s="154"/>
      <c r="K489" s="24" t="s">
        <v>289</v>
      </c>
      <c r="L489" s="24" t="s">
        <v>289</v>
      </c>
      <c r="N489" s="217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 t="s">
        <v>912</v>
      </c>
      <c r="H490" s="154"/>
      <c r="I490" s="154"/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 t="s">
        <v>913</v>
      </c>
      <c r="H491" s="154"/>
      <c r="I491" s="154"/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400000</v>
      </c>
      <c r="G492" s="18">
        <v>225501.31</v>
      </c>
      <c r="H492" s="18"/>
      <c r="I492" s="18"/>
      <c r="J492" s="18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0</v>
      </c>
      <c r="G493" s="18">
        <v>5.39</v>
      </c>
      <c r="H493" s="18"/>
      <c r="I493" s="18"/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85714.27</v>
      </c>
      <c r="G494" s="18">
        <v>155000</v>
      </c>
      <c r="H494" s="18"/>
      <c r="I494" s="18"/>
      <c r="J494" s="18"/>
      <c r="K494" s="53">
        <f>SUM(F494:J494)</f>
        <v>240714.27000000002</v>
      </c>
      <c r="L494" s="24" t="s">
        <v>289</v>
      </c>
      <c r="N494" s="217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>
        <v>0</v>
      </c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17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28581.43</v>
      </c>
      <c r="G496" s="18">
        <v>27815.5</v>
      </c>
      <c r="H496" s="18"/>
      <c r="I496" s="18"/>
      <c r="J496" s="18"/>
      <c r="K496" s="53">
        <f t="shared" si="35"/>
        <v>56396.93</v>
      </c>
      <c r="L496" s="24" t="s">
        <v>289</v>
      </c>
      <c r="N496" s="217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57142.84</v>
      </c>
      <c r="G497" s="204">
        <v>135000</v>
      </c>
      <c r="H497" s="204"/>
      <c r="I497" s="204"/>
      <c r="J497" s="204"/>
      <c r="K497" s="205">
        <f t="shared" si="35"/>
        <v>192142.84</v>
      </c>
      <c r="L497" s="206" t="s">
        <v>289</v>
      </c>
      <c r="N497" s="217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0</v>
      </c>
      <c r="G498" s="18">
        <v>27084.75</v>
      </c>
      <c r="H498" s="18"/>
      <c r="I498" s="18"/>
      <c r="J498" s="18"/>
      <c r="K498" s="53">
        <f t="shared" si="35"/>
        <v>27084.75</v>
      </c>
      <c r="L498" s="24" t="s">
        <v>289</v>
      </c>
      <c r="N498" s="217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57142.84</v>
      </c>
      <c r="G499" s="42">
        <f>SUM(G497:G498)</f>
        <v>162084.75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219227.59</v>
      </c>
      <c r="L499" s="45" t="s">
        <v>289</v>
      </c>
      <c r="N499" s="217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28571.43</v>
      </c>
      <c r="G500" s="204">
        <v>20000</v>
      </c>
      <c r="H500" s="204"/>
      <c r="I500" s="204"/>
      <c r="J500" s="204"/>
      <c r="K500" s="205">
        <f t="shared" si="35"/>
        <v>48571.43</v>
      </c>
      <c r="L500" s="206" t="s">
        <v>289</v>
      </c>
      <c r="N500" s="217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0</v>
      </c>
      <c r="G501" s="18">
        <v>6737.5</v>
      </c>
      <c r="H501" s="18"/>
      <c r="I501" s="18"/>
      <c r="J501" s="18"/>
      <c r="K501" s="53">
        <f t="shared" si="35"/>
        <v>6737.5</v>
      </c>
      <c r="L501" s="24" t="s">
        <v>289</v>
      </c>
      <c r="N501" s="217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28571.43</v>
      </c>
      <c r="G502" s="42">
        <f>SUM(G500:G501)</f>
        <v>26737.5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55308.93</v>
      </c>
      <c r="L502" s="45" t="s">
        <v>289</v>
      </c>
      <c r="N502" s="217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17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17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17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17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17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17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17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17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17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68348.9+50567.3+40508.65+43315.92+8790+950+1934.94+5201.7+1754.35+14951.54+7145.88</f>
        <v>243469.18000000005</v>
      </c>
      <c r="G520" s="18">
        <f>17922.63+12939.51+358.5+290.64+8830.09+7314.29+7495.22+5822.68+150+545+500+800+20.85+26.44+1144.03+546.6+300+100+4.03+1.27</f>
        <v>65111.779999999992</v>
      </c>
      <c r="H520" s="18">
        <f>14746.18+28839.84+69346.48+116452.46</f>
        <v>229384.96000000002</v>
      </c>
      <c r="I520" s="18">
        <f>411.01+71.92+482.94+434.1+453.5</f>
        <v>1853.47</v>
      </c>
      <c r="J520" s="18"/>
      <c r="K520" s="18"/>
      <c r="L520" s="88">
        <f>SUM(F520:K520)</f>
        <v>539819.39</v>
      </c>
      <c r="N520" s="217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17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f>77507.2+31350.92+2565.06+3913.97+5420.18</f>
        <v>120757.32999999999</v>
      </c>
      <c r="G522" s="18">
        <f>12939.51+396.12+86661+8726.07+837.21-80.32+546.6</f>
        <v>110026.19000000002</v>
      </c>
      <c r="H522" s="18">
        <f>25.15+14451.63</f>
        <v>14476.779999999999</v>
      </c>
      <c r="I522" s="18">
        <f>59.92+3106.53</f>
        <v>3166.4500000000003</v>
      </c>
      <c r="J522" s="18"/>
      <c r="K522" s="18"/>
      <c r="L522" s="88">
        <f>SUM(F522:K522)</f>
        <v>248426.75000000003</v>
      </c>
      <c r="N522" s="217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364226.51</v>
      </c>
      <c r="G523" s="108">
        <f t="shared" ref="G523:L523" si="36">SUM(G520:G522)</f>
        <v>175137.97</v>
      </c>
      <c r="H523" s="108">
        <f t="shared" si="36"/>
        <v>243861.74000000002</v>
      </c>
      <c r="I523" s="108">
        <f t="shared" si="36"/>
        <v>5019.92</v>
      </c>
      <c r="J523" s="108">
        <f t="shared" si="36"/>
        <v>0</v>
      </c>
      <c r="K523" s="108">
        <f t="shared" si="36"/>
        <v>0</v>
      </c>
      <c r="L523" s="89">
        <f t="shared" si="36"/>
        <v>788246.14</v>
      </c>
      <c r="N523" s="217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17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f>40925.37+46261.68</f>
        <v>87187.05</v>
      </c>
      <c r="I525" s="18"/>
      <c r="J525" s="18"/>
      <c r="K525" s="18"/>
      <c r="L525" s="88">
        <f>SUM(F525:K525)</f>
        <v>87187.05</v>
      </c>
      <c r="M525" s="8"/>
      <c r="N525" s="270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0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>
        <f>41620.5</f>
        <v>41620.5</v>
      </c>
      <c r="I527" s="18"/>
      <c r="J527" s="18"/>
      <c r="K527" s="18"/>
      <c r="L527" s="88">
        <f>SUM(F527:K527)</f>
        <v>41620.5</v>
      </c>
      <c r="M527" s="8"/>
      <c r="N527" s="270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128807.55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128807.55</v>
      </c>
      <c r="M528" s="8"/>
      <c r="N528" s="270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0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f>16875.25+13500.26+9054.78+7221.99+2100+1680</f>
        <v>50432.28</v>
      </c>
      <c r="G530" s="18">
        <f>6180.89+4926.56-483-453+147.34+117.61+2108.47+1684.99+796.88+635.5+1906.47+1524.97-25.1-20.9+61.19+68.95-15.18-13.41</f>
        <v>19149.23</v>
      </c>
      <c r="H530" s="18">
        <f>288.93+231.15+1000+309.2+587.94+259.84</f>
        <v>2677.0600000000004</v>
      </c>
      <c r="I530" s="18">
        <f>218.56+273.02</f>
        <v>491.58</v>
      </c>
      <c r="J530" s="18"/>
      <c r="K530" s="18">
        <f>132.82+119.59</f>
        <v>252.41</v>
      </c>
      <c r="L530" s="88">
        <f>SUM(F530:K530)</f>
        <v>73002.559999999998</v>
      </c>
      <c r="M530" s="8"/>
      <c r="N530" s="270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0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f>17839.58+9560.5+2220</f>
        <v>29620.080000000002</v>
      </c>
      <c r="G532" s="18">
        <f>6528.47-444+155.53+2229.12+841.37+2016.78-14-14+58.97-16.7</f>
        <v>11341.539999999999</v>
      </c>
      <c r="H532" s="18">
        <f>305.43+445.44</f>
        <v>750.87</v>
      </c>
      <c r="I532" s="18">
        <f>202.94</f>
        <v>202.94</v>
      </c>
      <c r="J532" s="18"/>
      <c r="K532" s="18">
        <v>136.59</v>
      </c>
      <c r="L532" s="88">
        <f>SUM(F532:K532)</f>
        <v>42052.020000000004</v>
      </c>
      <c r="M532" s="8"/>
      <c r="N532" s="270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80052.36</v>
      </c>
      <c r="G533" s="89">
        <f t="shared" ref="G533:L533" si="38">SUM(G530:G532)</f>
        <v>30490.769999999997</v>
      </c>
      <c r="H533" s="89">
        <f t="shared" si="38"/>
        <v>3427.9300000000003</v>
      </c>
      <c r="I533" s="89">
        <f t="shared" si="38"/>
        <v>694.52</v>
      </c>
      <c r="J533" s="89">
        <f t="shared" si="38"/>
        <v>0</v>
      </c>
      <c r="K533" s="89">
        <f t="shared" si="38"/>
        <v>389</v>
      </c>
      <c r="L533" s="89">
        <f t="shared" si="38"/>
        <v>115054.58</v>
      </c>
      <c r="M533" s="8"/>
      <c r="N533" s="270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0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0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0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0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0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0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f>8074.4+2528.64</f>
        <v>10603.039999999999</v>
      </c>
      <c r="I540" s="18"/>
      <c r="J540" s="18"/>
      <c r="K540" s="18"/>
      <c r="L540" s="88">
        <f>SUM(F540:K540)</f>
        <v>10603.039999999999</v>
      </c>
      <c r="M540" s="8"/>
      <c r="N540" s="270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0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0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10603.039999999999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10603.039999999999</v>
      </c>
      <c r="M543" s="8"/>
      <c r="N543" s="270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444278.87</v>
      </c>
      <c r="G544" s="89">
        <f t="shared" ref="G544:L544" si="41">G523+G528+G533+G538+G543</f>
        <v>205628.74</v>
      </c>
      <c r="H544" s="89">
        <f t="shared" si="41"/>
        <v>386700.26</v>
      </c>
      <c r="I544" s="89">
        <f t="shared" si="41"/>
        <v>5714.4400000000005</v>
      </c>
      <c r="J544" s="89">
        <f t="shared" si="41"/>
        <v>0</v>
      </c>
      <c r="K544" s="89">
        <f t="shared" si="41"/>
        <v>389</v>
      </c>
      <c r="L544" s="89">
        <f t="shared" si="41"/>
        <v>1042711.31</v>
      </c>
      <c r="M544" s="8"/>
      <c r="N544" s="270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0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0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0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539819.39</v>
      </c>
      <c r="G548" s="87">
        <f>L525</f>
        <v>87187.05</v>
      </c>
      <c r="H548" s="87">
        <f>L530</f>
        <v>73002.559999999998</v>
      </c>
      <c r="I548" s="87">
        <f>L535</f>
        <v>0</v>
      </c>
      <c r="J548" s="87">
        <f>L540</f>
        <v>10603.039999999999</v>
      </c>
      <c r="K548" s="87">
        <f>SUM(F548:J548)</f>
        <v>710612.04</v>
      </c>
      <c r="L548" s="24" t="s">
        <v>289</v>
      </c>
      <c r="M548" s="8"/>
      <c r="N548" s="270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0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248426.75000000003</v>
      </c>
      <c r="G550" s="87">
        <f>L527</f>
        <v>41620.5</v>
      </c>
      <c r="H550" s="87">
        <f>L532</f>
        <v>42052.020000000004</v>
      </c>
      <c r="I550" s="87">
        <f>L537</f>
        <v>0</v>
      </c>
      <c r="J550" s="87">
        <f>L542</f>
        <v>0</v>
      </c>
      <c r="K550" s="87">
        <f>SUM(F550:J550)</f>
        <v>332099.27</v>
      </c>
      <c r="L550" s="24" t="s">
        <v>289</v>
      </c>
      <c r="M550" s="8"/>
      <c r="N550" s="270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788246.14</v>
      </c>
      <c r="G551" s="89">
        <f t="shared" si="42"/>
        <v>128807.55</v>
      </c>
      <c r="H551" s="89">
        <f t="shared" si="42"/>
        <v>115054.58</v>
      </c>
      <c r="I551" s="89">
        <f t="shared" si="42"/>
        <v>0</v>
      </c>
      <c r="J551" s="89">
        <f t="shared" si="42"/>
        <v>10603.039999999999</v>
      </c>
      <c r="K551" s="89">
        <f t="shared" si="42"/>
        <v>1042711.31</v>
      </c>
      <c r="L551" s="24"/>
      <c r="M551" s="8"/>
      <c r="N551" s="270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0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0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0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0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0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0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0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0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0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0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0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0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0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0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0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0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f>14746.18+28839.84</f>
        <v>43586.020000000004</v>
      </c>
      <c r="G578" s="18"/>
      <c r="H578" s="18">
        <f>0</f>
        <v>0</v>
      </c>
      <c r="I578" s="87">
        <f t="shared" si="47"/>
        <v>43586.020000000004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f>69346.48+116452.46</f>
        <v>185798.94</v>
      </c>
      <c r="G581" s="18"/>
      <c r="H581" s="18">
        <f>14451.63</f>
        <v>14451.63</v>
      </c>
      <c r="I581" s="87">
        <f t="shared" si="47"/>
        <v>200250.57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28709.01</v>
      </c>
      <c r="I583" s="87">
        <f t="shared" si="47"/>
        <v>28709.01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0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0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56413.14</v>
      </c>
      <c r="I590" s="18"/>
      <c r="J590" s="18">
        <v>34575.79</v>
      </c>
      <c r="K590" s="104">
        <f t="shared" ref="K590:K596" si="48">SUM(H590:J590)</f>
        <v>90988.93</v>
      </c>
      <c r="L590" s="24" t="s">
        <v>289</v>
      </c>
      <c r="M590" s="8"/>
      <c r="N590" s="270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f>8074.4+2528.64</f>
        <v>10603.039999999999</v>
      </c>
      <c r="I591" s="18"/>
      <c r="J591" s="18"/>
      <c r="K591" s="104">
        <f t="shared" si="48"/>
        <v>10603.039999999999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45494.47</v>
      </c>
      <c r="K592" s="104">
        <f t="shared" si="48"/>
        <v>45494.47</v>
      </c>
      <c r="L592" s="24" t="s">
        <v>289</v>
      </c>
      <c r="M592" s="8"/>
      <c r="N592" s="270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f>4126.6+6500</f>
        <v>10626.6</v>
      </c>
      <c r="I593" s="18"/>
      <c r="J593" s="18">
        <v>8311.0300000000007</v>
      </c>
      <c r="K593" s="104">
        <f t="shared" si="48"/>
        <v>18937.63</v>
      </c>
      <c r="L593" s="24" t="s">
        <v>289</v>
      </c>
      <c r="M593" s="8"/>
      <c r="N593" s="270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f>3538.48+1216.25</f>
        <v>4754.7299999999996</v>
      </c>
      <c r="I594" s="18"/>
      <c r="J594" s="18">
        <v>4340.6099999999997</v>
      </c>
      <c r="K594" s="104">
        <f t="shared" si="48"/>
        <v>9095.34</v>
      </c>
      <c r="L594" s="24" t="s">
        <v>289</v>
      </c>
      <c r="M594" s="8"/>
      <c r="N594" s="270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0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0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82397.509999999995</v>
      </c>
      <c r="I597" s="108">
        <f>SUM(I590:I596)</f>
        <v>0</v>
      </c>
      <c r="J597" s="108">
        <f>SUM(J590:J596)</f>
        <v>92721.900000000009</v>
      </c>
      <c r="K597" s="108">
        <f>SUM(K590:K596)</f>
        <v>175119.41</v>
      </c>
      <c r="L597" s="24" t="s">
        <v>289</v>
      </c>
      <c r="M597" s="8"/>
      <c r="N597" s="270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0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0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0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22519.7</v>
      </c>
      <c r="I603" s="18"/>
      <c r="J603" s="18">
        <v>8178.99</v>
      </c>
      <c r="K603" s="104">
        <f>SUM(H603:J603)</f>
        <v>30698.690000000002</v>
      </c>
      <c r="L603" s="24" t="s">
        <v>289</v>
      </c>
      <c r="M603" s="8"/>
      <c r="N603" s="270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22519.7</v>
      </c>
      <c r="I604" s="108">
        <f>SUM(I601:I603)</f>
        <v>0</v>
      </c>
      <c r="J604" s="108">
        <f>SUM(J601:J603)</f>
        <v>8178.99</v>
      </c>
      <c r="K604" s="108">
        <f>SUM(K601:K603)</f>
        <v>30698.690000000002</v>
      </c>
      <c r="L604" s="24" t="s">
        <v>289</v>
      </c>
      <c r="M604" s="8"/>
      <c r="N604" s="270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0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0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0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0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0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0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  <c r="N613" s="270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416549.05000000005</v>
      </c>
      <c r="H616" s="109">
        <f>SUM(F51)</f>
        <v>416549.05000000005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21344.78</v>
      </c>
      <c r="H617" s="109">
        <f>SUM(G51)</f>
        <v>21344.78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114921.78</v>
      </c>
      <c r="H618" s="109">
        <f>SUM(H51)</f>
        <v>114921.78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266253.45</v>
      </c>
      <c r="H620" s="109">
        <f>SUM(J51)</f>
        <v>266253.45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271470.82</v>
      </c>
      <c r="H621" s="109">
        <f>F475</f>
        <v>271470.82000000123</v>
      </c>
      <c r="I621" s="121" t="s">
        <v>101</v>
      </c>
      <c r="J621" s="109">
        <f t="shared" ref="J621:J654" si="50">G621-H621</f>
        <v>-1.2223608791828156E-9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266253.45</v>
      </c>
      <c r="H625" s="109">
        <f>J475</f>
        <v>266253.45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5683310.6699999999</v>
      </c>
      <c r="H626" s="104">
        <f>SUM(F467)</f>
        <v>5683310.6700000009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194761.81000000003</v>
      </c>
      <c r="H627" s="104">
        <f>SUM(G467)</f>
        <v>194761.81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299262.84999999998</v>
      </c>
      <c r="H628" s="104">
        <f>SUM(H467)</f>
        <v>299262.84999999998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75185.539999999994</v>
      </c>
      <c r="H630" s="104">
        <f>SUM(J467)</f>
        <v>75185.539999999994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5541639.2199999997</v>
      </c>
      <c r="H631" s="104">
        <f>SUM(F471)</f>
        <v>5541639.2199999997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299262.84999999998</v>
      </c>
      <c r="H632" s="104">
        <f>SUM(H471)</f>
        <v>299262.84999999998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0</v>
      </c>
      <c r="H633" s="104">
        <f>I368</f>
        <v>0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194761.81</v>
      </c>
      <c r="H634" s="104">
        <f>SUM(G471)</f>
        <v>194761.81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75185.540000000008</v>
      </c>
      <c r="H636" s="164">
        <f>SUM(J467)</f>
        <v>75185.539999999994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266253.45</v>
      </c>
      <c r="H639" s="104">
        <f>SUM(G460)</f>
        <v>266253.45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266253.45</v>
      </c>
      <c r="H641" s="104">
        <f>SUM(I460)</f>
        <v>266253.45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185.54</v>
      </c>
      <c r="H643" s="104">
        <f>H407</f>
        <v>185.54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75000</v>
      </c>
      <c r="H644" s="104">
        <f>G407</f>
        <v>75000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75185.539999999994</v>
      </c>
      <c r="H645" s="104">
        <f>L407</f>
        <v>75185.540000000008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175119.41</v>
      </c>
      <c r="H646" s="104">
        <f>L207+L225+L243</f>
        <v>175119.41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30698.690000000002</v>
      </c>
      <c r="H647" s="104">
        <f>(J256+J337)-(J254+J335)</f>
        <v>30698.69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82397.509999999995</v>
      </c>
      <c r="H648" s="104">
        <f>H597</f>
        <v>82397.509999999995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92721.900000000009</v>
      </c>
      <c r="H650" s="104">
        <f>J597</f>
        <v>92721.900000000009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6535.92</v>
      </c>
      <c r="H651" s="104">
        <f>K262+K344</f>
        <v>6535.92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 t="str">
        <f>K263</f>
        <v xml:space="preserve">   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75000</v>
      </c>
      <c r="H654" s="104">
        <f>K265+K346</f>
        <v>75000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3801637.48</v>
      </c>
      <c r="G659" s="19">
        <f>(L228+L308+L358)</f>
        <v>0</v>
      </c>
      <c r="H659" s="19">
        <f>(L246+L327+L359)</f>
        <v>1984353.19</v>
      </c>
      <c r="I659" s="19">
        <f>SUM(F659:H659)</f>
        <v>5785990.6699999999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42135.713832324727</v>
      </c>
      <c r="G660" s="19">
        <f>(L358/IF(SUM(L357:L359)=0,1,SUM(L357:L359))*(SUM(G96:G109)))</f>
        <v>0</v>
      </c>
      <c r="H660" s="19">
        <f>(L359/IF(SUM(L357:L359)=0,1,SUM(L357:L359))*(SUM(G96:G109)))</f>
        <v>25825.116167675278</v>
      </c>
      <c r="I660" s="19">
        <f>SUM(F660:H660)</f>
        <v>67960.83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82397.509999999995</v>
      </c>
      <c r="G661" s="19">
        <f>(L225+L305)-(J225+J305)</f>
        <v>0</v>
      </c>
      <c r="H661" s="19">
        <f>(L243+L324)-(J243+J324)</f>
        <v>92721.900000000009</v>
      </c>
      <c r="I661" s="19">
        <f>SUM(F661:H661)</f>
        <v>175119.41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251904.66000000003</v>
      </c>
      <c r="G662" s="199">
        <f>SUM(G574:G586)+SUM(I601:I603)+L611</f>
        <v>0</v>
      </c>
      <c r="H662" s="199">
        <f>SUM(H574:H586)+SUM(J601:J603)+L612</f>
        <v>51339.63</v>
      </c>
      <c r="I662" s="19">
        <f>SUM(F662:H662)</f>
        <v>303244.29000000004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3425199.5961676752</v>
      </c>
      <c r="G663" s="19">
        <f>G659-SUM(G660:G662)</f>
        <v>0</v>
      </c>
      <c r="H663" s="19">
        <f>H659-SUM(H660:H662)</f>
        <v>1814466.5438323247</v>
      </c>
      <c r="I663" s="19">
        <f>I659-SUM(I660:I662)</f>
        <v>5239666.1399999997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236.77</v>
      </c>
      <c r="G664" s="248"/>
      <c r="H664" s="248">
        <v>147</v>
      </c>
      <c r="I664" s="19">
        <f>SUM(F664:H664)</f>
        <v>383.77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14466.36</v>
      </c>
      <c r="G666" s="19" t="e">
        <f>ROUND(G663/G664,2)</f>
        <v>#DIV/0!</v>
      </c>
      <c r="H666" s="19">
        <f>ROUND(H663/H664,2)</f>
        <v>12343.31</v>
      </c>
      <c r="I666" s="19">
        <f>ROUND(I663/I664,2)</f>
        <v>13653.14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-4.51</v>
      </c>
      <c r="I669" s="19">
        <f>SUM(F669:H669)</f>
        <v>-4.51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14466.36</v>
      </c>
      <c r="G671" s="19" t="e">
        <f>ROUND((G663+G668)/(G664+G669),2)</f>
        <v>#DIV/0!</v>
      </c>
      <c r="H671" s="19">
        <f>ROUND((H663+H668)/(H664+H669),2)</f>
        <v>12733.99</v>
      </c>
      <c r="I671" s="19">
        <f>ROUND((I663+I668)/(I664+I669),2)</f>
        <v>13815.5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9" workbookViewId="0">
      <selection activeCell="B37" sqref="B37: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NORTHUMBERLAND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1771722.5699999998</v>
      </c>
      <c r="C9" s="229">
        <f>'DOE25'!G196+'DOE25'!G214+'DOE25'!G232+'DOE25'!G275+'DOE25'!G294+'DOE25'!G313</f>
        <v>634622.24</v>
      </c>
    </row>
    <row r="10" spans="1:3" x14ac:dyDescent="0.2">
      <c r="A10" t="s">
        <v>779</v>
      </c>
      <c r="B10" s="272">
        <v>1716897.15</v>
      </c>
      <c r="C10" s="272">
        <v>630428.10000000009</v>
      </c>
    </row>
    <row r="11" spans="1:3" x14ac:dyDescent="0.2">
      <c r="A11" t="s">
        <v>780</v>
      </c>
      <c r="B11" s="272">
        <v>54825.42</v>
      </c>
      <c r="C11" s="272">
        <v>4194.1400000000003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1771722.5699999998</v>
      </c>
      <c r="C13" s="231">
        <f>SUM(C10:C12)</f>
        <v>634622.24000000011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364226.44000000006</v>
      </c>
      <c r="C18" s="229">
        <f>'DOE25'!G197+'DOE25'!G215+'DOE25'!G233+'DOE25'!G276+'DOE25'!G295+'DOE25'!G314</f>
        <v>90380.989999999991</v>
      </c>
    </row>
    <row r="19" spans="1:3" x14ac:dyDescent="0.2">
      <c r="A19" t="s">
        <v>779</v>
      </c>
      <c r="B19" s="273">
        <v>210663.4</v>
      </c>
      <c r="C19" s="273">
        <v>78633.420000000042</v>
      </c>
    </row>
    <row r="20" spans="1:3" x14ac:dyDescent="0.2">
      <c r="A20" t="s">
        <v>780</v>
      </c>
      <c r="B20" s="273">
        <v>153563.04</v>
      </c>
      <c r="C20" s="273">
        <v>11747.57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364226.44</v>
      </c>
      <c r="C22" s="231">
        <f>SUM(C19:C21)</f>
        <v>90380.990000000049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58065.32</v>
      </c>
      <c r="C36" s="235">
        <f>'DOE25'!G199+'DOE25'!G217+'DOE25'!G235+'DOE25'!G278+'DOE25'!G297+'DOE25'!G316</f>
        <v>8050.72</v>
      </c>
    </row>
    <row r="37" spans="1:3" x14ac:dyDescent="0.2">
      <c r="A37" t="s">
        <v>779</v>
      </c>
      <c r="B37" s="274">
        <v>21479.94</v>
      </c>
      <c r="C37" s="274">
        <v>4588.72</v>
      </c>
    </row>
    <row r="38" spans="1:3" x14ac:dyDescent="0.2">
      <c r="A38" t="s">
        <v>780</v>
      </c>
      <c r="B38" s="274">
        <v>36585.379999999997</v>
      </c>
      <c r="C38" s="274">
        <v>3462.0000000000009</v>
      </c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58065.319999999992</v>
      </c>
      <c r="C40" s="231">
        <f>SUM(C37:C39)</f>
        <v>8050.7200000000012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NORTHUMBERLAND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3280487.01</v>
      </c>
      <c r="D5" s="20">
        <f>SUM('DOE25'!L196:L199)+SUM('DOE25'!L214:L217)+SUM('DOE25'!L232:L235)-F5-G5</f>
        <v>3252377.09</v>
      </c>
      <c r="E5" s="243"/>
      <c r="F5" s="255">
        <f>SUM('DOE25'!J196:J199)+SUM('DOE25'!J214:J217)+SUM('DOE25'!J232:J235)</f>
        <v>22263.690000000002</v>
      </c>
      <c r="G5" s="53">
        <f>SUM('DOE25'!K196:K199)+SUM('DOE25'!K214:K217)+SUM('DOE25'!K232:K235)</f>
        <v>5846.23</v>
      </c>
      <c r="H5" s="259"/>
    </row>
    <row r="6" spans="1:9" x14ac:dyDescent="0.2">
      <c r="A6" s="32">
        <v>2100</v>
      </c>
      <c r="B6" t="s">
        <v>801</v>
      </c>
      <c r="C6" s="245">
        <f t="shared" si="0"/>
        <v>325630.13</v>
      </c>
      <c r="D6" s="20">
        <f>'DOE25'!L201+'DOE25'!L219+'DOE25'!L237-F6-G6</f>
        <v>325183.53000000003</v>
      </c>
      <c r="E6" s="243"/>
      <c r="F6" s="255">
        <f>'DOE25'!J201+'DOE25'!J219+'DOE25'!J237</f>
        <v>246.60000000000002</v>
      </c>
      <c r="G6" s="53">
        <f>'DOE25'!K201+'DOE25'!K219+'DOE25'!K237</f>
        <v>200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190396.51</v>
      </c>
      <c r="D7" s="20">
        <f>'DOE25'!L202+'DOE25'!L220+'DOE25'!L238-F7-G7</f>
        <v>189941.51</v>
      </c>
      <c r="E7" s="243"/>
      <c r="F7" s="255">
        <f>'DOE25'!J202+'DOE25'!J220+'DOE25'!J238</f>
        <v>455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163613.48999999996</v>
      </c>
      <c r="D8" s="243"/>
      <c r="E8" s="20">
        <f>'DOE25'!L203+'DOE25'!L221+'DOE25'!L239-F8-G8-D9-D11</f>
        <v>156321.21999999997</v>
      </c>
      <c r="F8" s="255">
        <f>'DOE25'!J203+'DOE25'!J221+'DOE25'!J239</f>
        <v>0</v>
      </c>
      <c r="G8" s="53">
        <f>'DOE25'!K203+'DOE25'!K221+'DOE25'!K239</f>
        <v>7292.2699999999995</v>
      </c>
      <c r="H8" s="259"/>
    </row>
    <row r="9" spans="1:9" x14ac:dyDescent="0.2">
      <c r="A9" s="32">
        <v>2310</v>
      </c>
      <c r="B9" t="s">
        <v>818</v>
      </c>
      <c r="C9" s="245">
        <f t="shared" si="0"/>
        <v>35743.589999999997</v>
      </c>
      <c r="D9" s="244">
        <v>35743.589999999997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12872</v>
      </c>
      <c r="D10" s="243"/>
      <c r="E10" s="244">
        <v>12872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120816.27</v>
      </c>
      <c r="D11" s="244">
        <v>120816.27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503507.11</v>
      </c>
      <c r="D12" s="20">
        <f>'DOE25'!L204+'DOE25'!L222+'DOE25'!L240-F12-G12</f>
        <v>494557.48</v>
      </c>
      <c r="E12" s="243"/>
      <c r="F12" s="255">
        <f>'DOE25'!J204+'DOE25'!J222+'DOE25'!J240</f>
        <v>377.13</v>
      </c>
      <c r="G12" s="53">
        <f>'DOE25'!K204+'DOE25'!K222+'DOE25'!K240</f>
        <v>8572.5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504652.85</v>
      </c>
      <c r="D14" s="20">
        <f>'DOE25'!L206+'DOE25'!L224+'DOE25'!L242-F14-G14</f>
        <v>497730.85</v>
      </c>
      <c r="E14" s="243"/>
      <c r="F14" s="255">
        <f>'DOE25'!J206+'DOE25'!J224+'DOE25'!J242</f>
        <v>6922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175119.41</v>
      </c>
      <c r="D15" s="20">
        <f>'DOE25'!L207+'DOE25'!L225+'DOE25'!L243-F15-G15</f>
        <v>175119.41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103750</v>
      </c>
      <c r="D22" s="243"/>
      <c r="E22" s="243"/>
      <c r="F22" s="255">
        <f>'DOE25'!L254+'DOE25'!L335</f>
        <v>103750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56386.93</v>
      </c>
      <c r="D25" s="243"/>
      <c r="E25" s="243"/>
      <c r="F25" s="258"/>
      <c r="G25" s="256"/>
      <c r="H25" s="257">
        <f>'DOE25'!L259+'DOE25'!L260+'DOE25'!L340+'DOE25'!L341</f>
        <v>56386.93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194761.81</v>
      </c>
      <c r="D29" s="20">
        <f>'DOE25'!L357+'DOE25'!L358+'DOE25'!L359-'DOE25'!I366-F29-G29</f>
        <v>191903.29</v>
      </c>
      <c r="E29" s="243"/>
      <c r="F29" s="255">
        <f>'DOE25'!J357+'DOE25'!J358+'DOE25'!J359</f>
        <v>2858.52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299262.84999999998</v>
      </c>
      <c r="D31" s="20">
        <f>'DOE25'!L289+'DOE25'!L308+'DOE25'!L327+'DOE25'!L332+'DOE25'!L333+'DOE25'!L334-F31-G31</f>
        <v>298828.57999999996</v>
      </c>
      <c r="E31" s="243"/>
      <c r="F31" s="255">
        <f>'DOE25'!J289+'DOE25'!J308+'DOE25'!J327+'DOE25'!J332+'DOE25'!J333+'DOE25'!J334</f>
        <v>434.27</v>
      </c>
      <c r="G31" s="53">
        <f>'DOE25'!K289+'DOE25'!K308+'DOE25'!K327+'DOE25'!K332+'DOE25'!K333+'DOE25'!K334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5582201.5999999996</v>
      </c>
      <c r="E33" s="246">
        <f>SUM(E5:E31)</f>
        <v>169193.21999999997</v>
      </c>
      <c r="F33" s="246">
        <f>SUM(F5:F31)</f>
        <v>137307.21</v>
      </c>
      <c r="G33" s="246">
        <f>SUM(G5:G31)</f>
        <v>21911</v>
      </c>
      <c r="H33" s="246">
        <f>SUM(H5:H31)</f>
        <v>56386.93</v>
      </c>
    </row>
    <row r="35" spans="2:8" ht="12" thickBot="1" x14ac:dyDescent="0.25">
      <c r="B35" s="253" t="s">
        <v>847</v>
      </c>
      <c r="D35" s="254">
        <f>E33</f>
        <v>169193.21999999997</v>
      </c>
      <c r="E35" s="249"/>
    </row>
    <row r="36" spans="2:8" ht="12" thickTop="1" x14ac:dyDescent="0.2">
      <c r="B36" t="s">
        <v>815</v>
      </c>
      <c r="D36" s="20">
        <f>D33</f>
        <v>5582201.5999999996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NORTHUMBERLAND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269481.05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266253.45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11791.03</v>
      </c>
      <c r="D11" s="95">
        <f>'DOE25'!G12</f>
        <v>0</v>
      </c>
      <c r="E11" s="95">
        <f>'DOE25'!H12</f>
        <v>989.59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135276.97</v>
      </c>
      <c r="D13" s="95">
        <f>'DOE25'!G14</f>
        <v>21344.78</v>
      </c>
      <c r="E13" s="95">
        <f>'DOE25'!H14</f>
        <v>113932.19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416549.05000000005</v>
      </c>
      <c r="D18" s="41">
        <f>SUM(D8:D17)</f>
        <v>21344.78</v>
      </c>
      <c r="E18" s="41">
        <f>SUM(E8:E17)</f>
        <v>114921.78</v>
      </c>
      <c r="F18" s="41">
        <f>SUM(F8:F17)</f>
        <v>0</v>
      </c>
      <c r="G18" s="41">
        <f>SUM(G8:G17)</f>
        <v>266253.45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989.59</v>
      </c>
      <c r="D21" s="95">
        <f>'DOE25'!G22</f>
        <v>21344.78</v>
      </c>
      <c r="E21" s="95">
        <f>'DOE25'!H22</f>
        <v>113932.19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142128.39000000001</v>
      </c>
      <c r="D27" s="95">
        <f>'DOE25'!G28</f>
        <v>0</v>
      </c>
      <c r="E27" s="95">
        <f>'DOE25'!H28</f>
        <v>989.59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1960.25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145078.23000000001</v>
      </c>
      <c r="D31" s="41">
        <f>SUM(D21:D30)</f>
        <v>21344.78</v>
      </c>
      <c r="E31" s="41">
        <f>SUM(E21:E30)</f>
        <v>114921.78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266253.45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47118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0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174352.82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271470.82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266253.45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416549.05000000005</v>
      </c>
      <c r="D50" s="41">
        <f>D49+D31</f>
        <v>21344.78</v>
      </c>
      <c r="E50" s="41">
        <f>E49+E31</f>
        <v>114921.78</v>
      </c>
      <c r="F50" s="41">
        <f>F49+F31</f>
        <v>0</v>
      </c>
      <c r="G50" s="41">
        <f>G49+G31</f>
        <v>266253.45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1648066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946739.66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2005.6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185.54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67960.83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10000.08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958745.34</v>
      </c>
      <c r="D61" s="130">
        <f>SUM(D56:D60)</f>
        <v>67960.83</v>
      </c>
      <c r="E61" s="130">
        <f>SUM(E56:E60)</f>
        <v>0</v>
      </c>
      <c r="F61" s="130">
        <f>SUM(F56:F60)</f>
        <v>0</v>
      </c>
      <c r="G61" s="130">
        <f>SUM(G56:G60)</f>
        <v>185.54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2606811.34</v>
      </c>
      <c r="D62" s="22">
        <f>D55+D61</f>
        <v>67960.83</v>
      </c>
      <c r="E62" s="22">
        <f>E55+E61</f>
        <v>0</v>
      </c>
      <c r="F62" s="22">
        <f>F55+F61</f>
        <v>0</v>
      </c>
      <c r="G62" s="22">
        <f>G55+G61</f>
        <v>185.54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2666064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236634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2902698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20571.43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10994.6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92.8</v>
      </c>
      <c r="D76" s="95">
        <f>SUM('DOE25'!G130:G134)</f>
        <v>2531.31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31658.829999999998</v>
      </c>
      <c r="D77" s="130">
        <f>SUM(D71:D76)</f>
        <v>2531.31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2934356.83</v>
      </c>
      <c r="D80" s="130">
        <f>SUM(D78:D79)+D77+D69</f>
        <v>2531.31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133699.21</v>
      </c>
      <c r="D87" s="95">
        <f>SUM('DOE25'!G152:G160)</f>
        <v>117733.75</v>
      </c>
      <c r="E87" s="95">
        <f>SUM('DOE25'!H152:H160)</f>
        <v>299262.84999999998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628.29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134327.5</v>
      </c>
      <c r="D90" s="131">
        <f>SUM(D84:D89)</f>
        <v>117733.75</v>
      </c>
      <c r="E90" s="131">
        <f>SUM(E84:E89)</f>
        <v>299262.84999999998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7815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6535.92</v>
      </c>
      <c r="E95" s="95">
        <f>'DOE25'!H178</f>
        <v>0</v>
      </c>
      <c r="F95" s="95">
        <f>'DOE25'!I178</f>
        <v>0</v>
      </c>
      <c r="G95" s="95">
        <f>'DOE25'!J178</f>
        <v>75000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7815</v>
      </c>
      <c r="D102" s="86">
        <f>SUM(D92:D101)</f>
        <v>6535.92</v>
      </c>
      <c r="E102" s="86">
        <f>SUM(E92:E101)</f>
        <v>0</v>
      </c>
      <c r="F102" s="86">
        <f>SUM(F92:F101)</f>
        <v>0</v>
      </c>
      <c r="G102" s="86">
        <f>SUM(G92:G101)</f>
        <v>75000</v>
      </c>
    </row>
    <row r="103" spans="1:7" ht="12.75" thickTop="1" thickBot="1" x14ac:dyDescent="0.25">
      <c r="A103" s="33" t="s">
        <v>765</v>
      </c>
      <c r="C103" s="86">
        <f>C62+C80+C90+C102</f>
        <v>5683310.6699999999</v>
      </c>
      <c r="D103" s="86">
        <f>D62+D80+D90+D102</f>
        <v>194761.81000000003</v>
      </c>
      <c r="E103" s="86">
        <f>E62+E80+E90+E102</f>
        <v>299262.84999999998</v>
      </c>
      <c r="F103" s="86">
        <f>F62+F80+F90+F102</f>
        <v>0</v>
      </c>
      <c r="G103" s="86">
        <f>G62+G80+G102</f>
        <v>75185.539999999994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2325419.5499999998</v>
      </c>
      <c r="D108" s="24" t="s">
        <v>289</v>
      </c>
      <c r="E108" s="95">
        <f>('DOE25'!L275)+('DOE25'!L294)+('DOE25'!L313)</f>
        <v>291274.54000000004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832328.69</v>
      </c>
      <c r="D109" s="24" t="s">
        <v>289</v>
      </c>
      <c r="E109" s="95">
        <f>('DOE25'!L276)+('DOE25'!L295)+('DOE25'!L314)</f>
        <v>-12.049999999999999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28709.01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94029.760000000009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8000.36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3280487.01</v>
      </c>
      <c r="D114" s="86">
        <f>SUM(D108:D113)</f>
        <v>0</v>
      </c>
      <c r="E114" s="86">
        <f>SUM(E108:E113)</f>
        <v>299262.85000000003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325630.13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190396.51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320173.34999999998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503507.11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504652.85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175119.41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194761.81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2019479.36</v>
      </c>
      <c r="D127" s="86">
        <f>SUM(D117:D126)</f>
        <v>194761.81</v>
      </c>
      <c r="E127" s="86">
        <f>SUM(E117:E126)</f>
        <v>0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103750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48571.43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7815.5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6535.92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75185.540000000008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-185.54000000000815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241672.85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5541639.2199999997</v>
      </c>
      <c r="D144" s="86">
        <f>(D114+D127+D143)</f>
        <v>194761.81</v>
      </c>
      <c r="E144" s="86">
        <f>(E114+E127+E143)</f>
        <v>299262.85000000003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14</v>
      </c>
      <c r="C150" s="153">
        <f>'DOE25'!G489</f>
        <v>10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06/01</v>
      </c>
      <c r="C151" s="152" t="str">
        <f>'DOE25'!G490</f>
        <v>09/10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06/15</v>
      </c>
      <c r="C152" s="152" t="str">
        <f>'DOE25'!G491</f>
        <v>09/20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400000</v>
      </c>
      <c r="C153" s="137">
        <f>'DOE25'!G492</f>
        <v>225501.31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5.39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85714.27</v>
      </c>
      <c r="C155" s="137">
        <f>'DOE25'!G494</f>
        <v>155000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240714.27000000002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28581.43</v>
      </c>
      <c r="C157" s="137">
        <f>'DOE25'!G496</f>
        <v>27815.5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56396.93</v>
      </c>
    </row>
    <row r="158" spans="1:9" x14ac:dyDescent="0.2">
      <c r="A158" s="22" t="s">
        <v>35</v>
      </c>
      <c r="B158" s="137">
        <f>'DOE25'!F497</f>
        <v>57142.84</v>
      </c>
      <c r="C158" s="137">
        <f>'DOE25'!G497</f>
        <v>135000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192142.84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27084.75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27084.75</v>
      </c>
    </row>
    <row r="160" spans="1:9" x14ac:dyDescent="0.2">
      <c r="A160" s="22" t="s">
        <v>37</v>
      </c>
      <c r="B160" s="137">
        <f>'DOE25'!F499</f>
        <v>57142.84</v>
      </c>
      <c r="C160" s="137">
        <f>'DOE25'!G499</f>
        <v>162084.75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219227.59</v>
      </c>
    </row>
    <row r="161" spans="1:7" x14ac:dyDescent="0.2">
      <c r="A161" s="22" t="s">
        <v>38</v>
      </c>
      <c r="B161" s="137">
        <f>'DOE25'!F500</f>
        <v>28571.43</v>
      </c>
      <c r="C161" s="137">
        <f>'DOE25'!G500</f>
        <v>20000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48571.43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6737.5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6737.5</v>
      </c>
    </row>
    <row r="163" spans="1:7" x14ac:dyDescent="0.2">
      <c r="A163" s="22" t="s">
        <v>246</v>
      </c>
      <c r="B163" s="137">
        <f>'DOE25'!F502</f>
        <v>28571.43</v>
      </c>
      <c r="C163" s="137">
        <f>'DOE25'!G502</f>
        <v>26737.5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55308.93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NORTHUMBERLAND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14466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12734</v>
      </c>
    </row>
    <row r="7" spans="1:4" x14ac:dyDescent="0.2">
      <c r="B7" t="s">
        <v>705</v>
      </c>
      <c r="C7" s="179">
        <f>IF('DOE25'!I664+'DOE25'!I669=0,0,ROUND('DOE25'!I671,0))</f>
        <v>13816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2616694</v>
      </c>
      <c r="D10" s="182">
        <f>ROUND((C10/$C$28)*100,1)</f>
        <v>45.6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832317</v>
      </c>
      <c r="D11" s="182">
        <f>ROUND((C11/$C$28)*100,1)</f>
        <v>14.5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28709</v>
      </c>
      <c r="D12" s="182">
        <f>ROUND((C12/$C$28)*100,1)</f>
        <v>0.5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94030</v>
      </c>
      <c r="D13" s="182">
        <f>ROUND((C13/$C$28)*100,1)</f>
        <v>1.6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325630</v>
      </c>
      <c r="D15" s="182">
        <f t="shared" ref="D15:D27" si="0">ROUND((C15/$C$28)*100,1)</f>
        <v>5.7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190397</v>
      </c>
      <c r="D16" s="182">
        <f t="shared" si="0"/>
        <v>3.3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320173</v>
      </c>
      <c r="D17" s="182">
        <f t="shared" si="0"/>
        <v>5.6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503507</v>
      </c>
      <c r="D18" s="182">
        <f t="shared" si="0"/>
        <v>8.8000000000000007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504653</v>
      </c>
      <c r="D20" s="182">
        <f t="shared" si="0"/>
        <v>8.8000000000000007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175119</v>
      </c>
      <c r="D21" s="182">
        <f t="shared" si="0"/>
        <v>3.1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8000</v>
      </c>
      <c r="D24" s="182">
        <f t="shared" si="0"/>
        <v>0.1</v>
      </c>
    </row>
    <row r="25" spans="1:4" x14ac:dyDescent="0.2">
      <c r="A25">
        <v>5120</v>
      </c>
      <c r="B25" t="s">
        <v>720</v>
      </c>
      <c r="C25" s="179">
        <f>ROUND('DOE25'!L260+'DOE25'!L341,0)</f>
        <v>7816</v>
      </c>
      <c r="D25" s="182">
        <f t="shared" si="0"/>
        <v>0.1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126801.17</v>
      </c>
      <c r="D27" s="182">
        <f t="shared" si="0"/>
        <v>2.2000000000000002</v>
      </c>
    </row>
    <row r="28" spans="1:4" x14ac:dyDescent="0.2">
      <c r="B28" s="187" t="s">
        <v>723</v>
      </c>
      <c r="C28" s="180">
        <f>SUM(C10:C27)</f>
        <v>5733846.1699999999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103750</v>
      </c>
    </row>
    <row r="30" spans="1:4" x14ac:dyDescent="0.2">
      <c r="B30" s="187" t="s">
        <v>729</v>
      </c>
      <c r="C30" s="180">
        <f>SUM(C28:C29)</f>
        <v>5837596.1699999999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48571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1648066</v>
      </c>
      <c r="D35" s="182">
        <f t="shared" ref="D35:D40" si="1">ROUND((C35/$C$41)*100,1)</f>
        <v>27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966745.88000000035</v>
      </c>
      <c r="D36" s="182">
        <f t="shared" si="1"/>
        <v>15.8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2902698</v>
      </c>
      <c r="D37" s="182">
        <f t="shared" si="1"/>
        <v>47.6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34190</v>
      </c>
      <c r="D38" s="182">
        <f t="shared" si="1"/>
        <v>0.6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551324</v>
      </c>
      <c r="D39" s="182">
        <f t="shared" si="1"/>
        <v>9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6103023.8800000008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0" t="s">
        <v>770</v>
      </c>
      <c r="B1" s="291"/>
      <c r="C1" s="291"/>
      <c r="D1" s="291"/>
      <c r="E1" s="291"/>
      <c r="F1" s="291"/>
      <c r="G1" s="291"/>
      <c r="H1" s="291"/>
      <c r="I1" s="291"/>
      <c r="J1" s="213"/>
      <c r="K1" s="213"/>
      <c r="L1" s="213"/>
      <c r="M1" s="214"/>
    </row>
    <row r="2" spans="1:26" ht="12.75" x14ac:dyDescent="0.2">
      <c r="A2" s="296" t="s">
        <v>767</v>
      </c>
      <c r="B2" s="297"/>
      <c r="C2" s="297"/>
      <c r="D2" s="297"/>
      <c r="E2" s="297"/>
      <c r="F2" s="294" t="str">
        <f>'DOE25'!A2</f>
        <v>NORTHUMBERLAND SCHOOL DISTRICT</v>
      </c>
      <c r="G2" s="295"/>
      <c r="H2" s="295"/>
      <c r="I2" s="295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2" t="s">
        <v>771</v>
      </c>
      <c r="D3" s="292"/>
      <c r="E3" s="292"/>
      <c r="F3" s="292"/>
      <c r="G3" s="292"/>
      <c r="H3" s="292"/>
      <c r="I3" s="292"/>
      <c r="J3" s="292"/>
      <c r="K3" s="292"/>
      <c r="L3" s="292"/>
      <c r="M3" s="293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7"/>
      <c r="Q29" s="287"/>
      <c r="R29" s="287"/>
      <c r="S29" s="287"/>
      <c r="T29" s="287"/>
      <c r="U29" s="287"/>
      <c r="V29" s="287"/>
      <c r="W29" s="287"/>
      <c r="X29" s="287"/>
      <c r="Y29" s="287"/>
      <c r="Z29" s="287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7"/>
      <c r="Q30" s="287"/>
      <c r="R30" s="287"/>
      <c r="S30" s="287"/>
      <c r="T30" s="287"/>
      <c r="U30" s="287"/>
      <c r="V30" s="287"/>
      <c r="W30" s="287"/>
      <c r="X30" s="287"/>
      <c r="Y30" s="287"/>
      <c r="Z30" s="287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7"/>
      <c r="Q31" s="287"/>
      <c r="R31" s="287"/>
      <c r="S31" s="287"/>
      <c r="T31" s="287"/>
      <c r="U31" s="287"/>
      <c r="V31" s="287"/>
      <c r="W31" s="287"/>
      <c r="X31" s="287"/>
      <c r="Y31" s="287"/>
      <c r="Z31" s="287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88"/>
      <c r="Q32" s="288"/>
      <c r="R32" s="288"/>
      <c r="S32" s="288"/>
      <c r="T32" s="288"/>
      <c r="U32" s="288"/>
      <c r="V32" s="288"/>
      <c r="W32" s="288"/>
      <c r="X32" s="288"/>
      <c r="Y32" s="288"/>
      <c r="Z32" s="289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7"/>
      <c r="Q38" s="287"/>
      <c r="R38" s="287"/>
      <c r="S38" s="287"/>
      <c r="T38" s="287"/>
      <c r="U38" s="287"/>
      <c r="V38" s="287"/>
      <c r="W38" s="287"/>
      <c r="X38" s="287"/>
      <c r="Y38" s="287"/>
      <c r="Z38" s="287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7"/>
      <c r="Q39" s="287"/>
      <c r="R39" s="287"/>
      <c r="S39" s="287"/>
      <c r="T39" s="287"/>
      <c r="U39" s="287"/>
      <c r="V39" s="287"/>
      <c r="W39" s="287"/>
      <c r="X39" s="287"/>
      <c r="Y39" s="287"/>
      <c r="Z39" s="287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7"/>
      <c r="Q40" s="287"/>
      <c r="R40" s="287"/>
      <c r="S40" s="287"/>
      <c r="T40" s="287"/>
      <c r="U40" s="287"/>
      <c r="V40" s="287"/>
      <c r="W40" s="287"/>
      <c r="X40" s="287"/>
      <c r="Y40" s="287"/>
      <c r="Z40" s="287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BB0A" sheet="1" objects="1" scenarios="1"/>
  <mergeCells count="223">
    <mergeCell ref="C53:M53"/>
    <mergeCell ref="C54:M54"/>
    <mergeCell ref="C55:M55"/>
    <mergeCell ref="C75:M75"/>
    <mergeCell ref="C67:M67"/>
    <mergeCell ref="C68:M68"/>
    <mergeCell ref="C69:M69"/>
    <mergeCell ref="C63:M63"/>
    <mergeCell ref="C64:M64"/>
    <mergeCell ref="C65:M65"/>
    <mergeCell ref="C60:M60"/>
    <mergeCell ref="C62:M62"/>
    <mergeCell ref="C61:M61"/>
    <mergeCell ref="C56:M56"/>
    <mergeCell ref="C57:M57"/>
    <mergeCell ref="C59:M59"/>
    <mergeCell ref="C58:M58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27:M27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BC29:BM29"/>
    <mergeCell ref="BP29:BZ29"/>
    <mergeCell ref="CC29:CM29"/>
    <mergeCell ref="AP29:AZ29"/>
    <mergeCell ref="C32:M32"/>
    <mergeCell ref="C30:M30"/>
    <mergeCell ref="C31:M31"/>
    <mergeCell ref="P31:Z31"/>
    <mergeCell ref="AC31:AM31"/>
    <mergeCell ref="A1:I1"/>
    <mergeCell ref="C3:M3"/>
    <mergeCell ref="C4:M4"/>
    <mergeCell ref="F2:I2"/>
    <mergeCell ref="P29:Z29"/>
    <mergeCell ref="AC29:AM29"/>
    <mergeCell ref="C28:M28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C21:M21"/>
    <mergeCell ref="C22:M22"/>
    <mergeCell ref="C23:M23"/>
    <mergeCell ref="C24:M24"/>
    <mergeCell ref="C29:M29"/>
    <mergeCell ref="C25:M25"/>
    <mergeCell ref="C26:M26"/>
    <mergeCell ref="P30:Z30"/>
    <mergeCell ref="AC30:AM30"/>
    <mergeCell ref="AP30:AZ30"/>
    <mergeCell ref="C41:M41"/>
    <mergeCell ref="C33:M33"/>
    <mergeCell ref="C37:M37"/>
    <mergeCell ref="P32:Z32"/>
    <mergeCell ref="AC32:AM32"/>
    <mergeCell ref="C34:M34"/>
    <mergeCell ref="AP32:AZ32"/>
    <mergeCell ref="AP31:AZ31"/>
    <mergeCell ref="C39:M39"/>
    <mergeCell ref="C40:M40"/>
    <mergeCell ref="GP30:GZ30"/>
    <mergeCell ref="FP29:FZ29"/>
    <mergeCell ref="GC29:GM29"/>
    <mergeCell ref="GP29:GZ29"/>
    <mergeCell ref="HC29:HM29"/>
    <mergeCell ref="HC30:HM30"/>
    <mergeCell ref="HP29:HZ29"/>
    <mergeCell ref="IC29:IM29"/>
    <mergeCell ref="IP29:IV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EP31:EZ31"/>
    <mergeCell ref="GC32:GM32"/>
    <mergeCell ref="GC30:GM30"/>
    <mergeCell ref="GP32:GZ32"/>
    <mergeCell ref="EC30:EM30"/>
    <mergeCell ref="EP30:EZ30"/>
    <mergeCell ref="HC32:HM32"/>
    <mergeCell ref="HP31:HZ31"/>
    <mergeCell ref="HP30:HZ30"/>
    <mergeCell ref="FC30:FM30"/>
    <mergeCell ref="FP30:FZ30"/>
    <mergeCell ref="GC31:GM31"/>
    <mergeCell ref="GP31:GZ31"/>
    <mergeCell ref="HC31:HM31"/>
    <mergeCell ref="IP30:IV30"/>
    <mergeCell ref="BC31:BM31"/>
    <mergeCell ref="BC32:BM32"/>
    <mergeCell ref="BC39:BM39"/>
    <mergeCell ref="BP31:BZ31"/>
    <mergeCell ref="CC31:CM31"/>
    <mergeCell ref="DC32:DM32"/>
    <mergeCell ref="BP32:BZ32"/>
    <mergeCell ref="CP31:CZ31"/>
    <mergeCell ref="FP32:FZ32"/>
    <mergeCell ref="DC38:DM38"/>
    <mergeCell ref="DP38:DZ38"/>
    <mergeCell ref="EC38:EM38"/>
    <mergeCell ref="DC31:DM31"/>
    <mergeCell ref="DP31:DZ31"/>
    <mergeCell ref="EC31:EM31"/>
    <mergeCell ref="BP38:BZ38"/>
    <mergeCell ref="CC38:CM38"/>
    <mergeCell ref="DP32:DZ32"/>
    <mergeCell ref="EC32:EM32"/>
    <mergeCell ref="EP32:EZ32"/>
    <mergeCell ref="FC32:FM32"/>
    <mergeCell ref="FC31:FM31"/>
    <mergeCell ref="FP31:FZ31"/>
    <mergeCell ref="IP38:IV38"/>
    <mergeCell ref="CP38:CZ38"/>
    <mergeCell ref="BC38:BM38"/>
    <mergeCell ref="HP32:HZ32"/>
    <mergeCell ref="IC32:IM32"/>
    <mergeCell ref="IP32:IV32"/>
    <mergeCell ref="EP38:EZ38"/>
    <mergeCell ref="FC38:FM38"/>
    <mergeCell ref="FP38:FZ38"/>
    <mergeCell ref="P39:Z39"/>
    <mergeCell ref="AC39:AM39"/>
    <mergeCell ref="AP39:AZ39"/>
    <mergeCell ref="HP39:HZ39"/>
    <mergeCell ref="IC39:IM39"/>
    <mergeCell ref="HC39:HM39"/>
    <mergeCell ref="DC39:DM39"/>
    <mergeCell ref="P38:Z38"/>
    <mergeCell ref="AC38:AM38"/>
    <mergeCell ref="AP38:AZ38"/>
    <mergeCell ref="HP38:HZ38"/>
    <mergeCell ref="GC38:GM38"/>
    <mergeCell ref="GP38:GZ38"/>
    <mergeCell ref="HC38:HM38"/>
    <mergeCell ref="IC38:IM38"/>
    <mergeCell ref="DP39:DZ39"/>
    <mergeCell ref="EC39:EM39"/>
    <mergeCell ref="GC39:GM39"/>
    <mergeCell ref="BP39:BZ39"/>
    <mergeCell ref="CC39:CM39"/>
    <mergeCell ref="CP39:CZ39"/>
    <mergeCell ref="IP39:IV39"/>
    <mergeCell ref="EP39:EZ39"/>
    <mergeCell ref="FC39:FM39"/>
    <mergeCell ref="FP39:FZ39"/>
    <mergeCell ref="GP39:GZ39"/>
    <mergeCell ref="C46:M46"/>
    <mergeCell ref="GC40:GM40"/>
    <mergeCell ref="GP40:GZ40"/>
    <mergeCell ref="HC40:HM40"/>
    <mergeCell ref="HP40:HZ40"/>
    <mergeCell ref="EC40:EM40"/>
    <mergeCell ref="AP40:AZ40"/>
    <mergeCell ref="BP40:BZ40"/>
    <mergeCell ref="FC40:FM40"/>
    <mergeCell ref="FP40:FZ40"/>
    <mergeCell ref="AC40:AM40"/>
    <mergeCell ref="CC40:CM40"/>
    <mergeCell ref="CP40:CZ40"/>
    <mergeCell ref="P40:Z40"/>
    <mergeCell ref="C42:M42"/>
    <mergeCell ref="IP40:IV40"/>
    <mergeCell ref="C45:M45"/>
    <mergeCell ref="DC40:DM40"/>
    <mergeCell ref="EP40:EZ40"/>
    <mergeCell ref="C44:M44"/>
    <mergeCell ref="DP40:DZ40"/>
    <mergeCell ref="IC40:IM40"/>
    <mergeCell ref="C43:M43"/>
    <mergeCell ref="BC40:B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2013-08-27T16:05:58Z</cp:lastPrinted>
  <dcterms:created xsi:type="dcterms:W3CDTF">1997-12-04T19:04:30Z</dcterms:created>
  <dcterms:modified xsi:type="dcterms:W3CDTF">2013-12-05T18:54:41Z</dcterms:modified>
</cp:coreProperties>
</file>