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196" i="1" l="1"/>
  <c r="G202" i="1" l="1"/>
  <c r="H197" i="1"/>
  <c r="J590" i="1"/>
  <c r="H232" i="1"/>
  <c r="H203" i="1"/>
  <c r="H239" i="1"/>
  <c r="B39" i="12" l="1"/>
  <c r="B38" i="12"/>
  <c r="B37" i="12"/>
  <c r="B21" i="12"/>
  <c r="B19" i="12"/>
  <c r="C10" i="12"/>
  <c r="B12" i="12"/>
  <c r="G206" i="1" l="1"/>
  <c r="G204" i="1"/>
  <c r="G201" i="1" l="1"/>
  <c r="H196" i="1"/>
  <c r="C37" i="10" l="1"/>
  <c r="F40" i="2" l="1"/>
  <c r="D39" i="2"/>
  <c r="G654" i="1"/>
  <c r="F47" i="2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C120" i="2" s="1"/>
  <c r="L240" i="1"/>
  <c r="F14" i="13"/>
  <c r="G14" i="13"/>
  <c r="L206" i="1"/>
  <c r="L224" i="1"/>
  <c r="C122" i="2" s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D126" i="2" s="1"/>
  <c r="D127" i="2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8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J551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C18" i="2" s="1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E121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J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H459" i="1"/>
  <c r="H460" i="1" s="1"/>
  <c r="H640" i="1" s="1"/>
  <c r="I459" i="1"/>
  <c r="I460" i="1" s="1"/>
  <c r="H641" i="1" s="1"/>
  <c r="F460" i="1"/>
  <c r="G460" i="1"/>
  <c r="F469" i="1"/>
  <c r="G469" i="1"/>
  <c r="H469" i="1"/>
  <c r="I469" i="1"/>
  <c r="J469" i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H544" i="1" s="1"/>
  <c r="I523" i="1"/>
  <c r="I544" i="1" s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J635" i="1" s="1"/>
  <c r="H636" i="1"/>
  <c r="H637" i="1"/>
  <c r="G638" i="1"/>
  <c r="H638" i="1"/>
  <c r="G639" i="1"/>
  <c r="H639" i="1"/>
  <c r="G640" i="1"/>
  <c r="G642" i="1"/>
  <c r="H642" i="1"/>
  <c r="G643" i="1"/>
  <c r="H643" i="1"/>
  <c r="G644" i="1"/>
  <c r="H644" i="1"/>
  <c r="H646" i="1"/>
  <c r="G648" i="1"/>
  <c r="G649" i="1"/>
  <c r="G650" i="1"/>
  <c r="J650" i="1" s="1"/>
  <c r="G651" i="1"/>
  <c r="H651" i="1"/>
  <c r="G652" i="1"/>
  <c r="H652" i="1"/>
  <c r="G653" i="1"/>
  <c r="H653" i="1"/>
  <c r="H654" i="1"/>
  <c r="F191" i="1"/>
  <c r="G163" i="2"/>
  <c r="G159" i="2"/>
  <c r="F31" i="2"/>
  <c r="C26" i="10"/>
  <c r="L327" i="1"/>
  <c r="L350" i="1"/>
  <c r="L289" i="1"/>
  <c r="G161" i="2"/>
  <c r="D61" i="2"/>
  <c r="D62" i="2" s="1"/>
  <c r="E49" i="2"/>
  <c r="D18" i="13"/>
  <c r="C18" i="13" s="1"/>
  <c r="D15" i="13"/>
  <c r="C15" i="13" s="1"/>
  <c r="F102" i="2"/>
  <c r="E18" i="2"/>
  <c r="D17" i="13"/>
  <c r="C17" i="13" s="1"/>
  <c r="G158" i="2"/>
  <c r="G80" i="2"/>
  <c r="F77" i="2"/>
  <c r="F80" i="2" s="1"/>
  <c r="F61" i="2"/>
  <c r="F62" i="2" s="1"/>
  <c r="C77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C31" i="2"/>
  <c r="G61" i="2"/>
  <c r="D19" i="13"/>
  <c r="C19" i="13" s="1"/>
  <c r="E77" i="2"/>
  <c r="E80" i="2" s="1"/>
  <c r="L426" i="1"/>
  <c r="H111" i="1"/>
  <c r="K604" i="1"/>
  <c r="G647" i="1" s="1"/>
  <c r="J570" i="1"/>
  <c r="K570" i="1"/>
  <c r="L432" i="1"/>
  <c r="L418" i="1"/>
  <c r="D80" i="2"/>
  <c r="I168" i="1"/>
  <c r="H168" i="1"/>
  <c r="E50" i="2"/>
  <c r="J642" i="1"/>
  <c r="J475" i="1"/>
  <c r="H625" i="1" s="1"/>
  <c r="F475" i="1"/>
  <c r="H621" i="1" s="1"/>
  <c r="G475" i="1"/>
  <c r="H622" i="1" s="1"/>
  <c r="G337" i="1"/>
  <c r="G351" i="1" s="1"/>
  <c r="F168" i="1"/>
  <c r="J139" i="1"/>
  <c r="F570" i="1"/>
  <c r="I551" i="1"/>
  <c r="K549" i="1"/>
  <c r="G22" i="2"/>
  <c r="K544" i="1"/>
  <c r="H551" i="1"/>
  <c r="C29" i="10"/>
  <c r="H139" i="1"/>
  <c r="L392" i="1"/>
  <c r="F22" i="13"/>
  <c r="C22" i="13" s="1"/>
  <c r="H25" i="13"/>
  <c r="C25" i="13" s="1"/>
  <c r="J639" i="1"/>
  <c r="H570" i="1"/>
  <c r="L559" i="1"/>
  <c r="J544" i="1"/>
  <c r="H337" i="1"/>
  <c r="H351" i="1" s="1"/>
  <c r="F337" i="1"/>
  <c r="F351" i="1" s="1"/>
  <c r="H191" i="1"/>
  <c r="E127" i="2"/>
  <c r="E144" i="2" s="1"/>
  <c r="C35" i="10"/>
  <c r="L308" i="1"/>
  <c r="E16" i="13"/>
  <c r="C16" i="13" s="1"/>
  <c r="C49" i="2"/>
  <c r="J654" i="1"/>
  <c r="J644" i="1"/>
  <c r="L569" i="1"/>
  <c r="I570" i="1"/>
  <c r="G36" i="2"/>
  <c r="L564" i="1"/>
  <c r="G544" i="1"/>
  <c r="C137" i="2"/>
  <c r="H33" i="13"/>
  <c r="L543" i="1" l="1"/>
  <c r="K550" i="1"/>
  <c r="K548" i="1"/>
  <c r="K551" i="1" s="1"/>
  <c r="L528" i="1"/>
  <c r="F551" i="1"/>
  <c r="L523" i="1"/>
  <c r="J648" i="1"/>
  <c r="K597" i="1"/>
  <c r="G646" i="1" s="1"/>
  <c r="J646" i="1" s="1"/>
  <c r="C123" i="2"/>
  <c r="C17" i="10"/>
  <c r="C19" i="10"/>
  <c r="L246" i="1"/>
  <c r="H659" i="1" s="1"/>
  <c r="H663" i="1" s="1"/>
  <c r="H666" i="1" s="1"/>
  <c r="I661" i="1"/>
  <c r="C109" i="2"/>
  <c r="A40" i="12"/>
  <c r="A31" i="12"/>
  <c r="C110" i="2"/>
  <c r="A13" i="12"/>
  <c r="E13" i="13"/>
  <c r="C13" i="13" s="1"/>
  <c r="C121" i="2"/>
  <c r="C118" i="2"/>
  <c r="D6" i="13"/>
  <c r="C6" i="13" s="1"/>
  <c r="C15" i="10"/>
  <c r="J256" i="1"/>
  <c r="J270" i="1" s="1"/>
  <c r="G256" i="1"/>
  <c r="G270" i="1" s="1"/>
  <c r="L210" i="1"/>
  <c r="F659" i="1" s="1"/>
  <c r="K256" i="1"/>
  <c r="K270" i="1" s="1"/>
  <c r="I256" i="1"/>
  <c r="I270" i="1" s="1"/>
  <c r="J638" i="1"/>
  <c r="H475" i="1"/>
  <c r="H623" i="1" s="1"/>
  <c r="J623" i="1" s="1"/>
  <c r="J640" i="1"/>
  <c r="I445" i="1"/>
  <c r="G641" i="1" s="1"/>
  <c r="J641" i="1" s="1"/>
  <c r="L400" i="1"/>
  <c r="C138" i="2" s="1"/>
  <c r="J643" i="1"/>
  <c r="F660" i="1"/>
  <c r="D29" i="13"/>
  <c r="C29" i="13" s="1"/>
  <c r="H660" i="1"/>
  <c r="L361" i="1"/>
  <c r="G634" i="1" s="1"/>
  <c r="J634" i="1" s="1"/>
  <c r="D144" i="2"/>
  <c r="G660" i="1"/>
  <c r="C80" i="2"/>
  <c r="C61" i="2"/>
  <c r="C62" i="2" s="1"/>
  <c r="F111" i="1"/>
  <c r="C36" i="10" s="1"/>
  <c r="J621" i="1"/>
  <c r="G622" i="1"/>
  <c r="J622" i="1" s="1"/>
  <c r="C50" i="2"/>
  <c r="J616" i="1"/>
  <c r="D18" i="2"/>
  <c r="C20" i="10"/>
  <c r="D14" i="13"/>
  <c r="C14" i="13" s="1"/>
  <c r="D12" i="13"/>
  <c r="C12" i="13" s="1"/>
  <c r="E8" i="13"/>
  <c r="C8" i="13" s="1"/>
  <c r="C119" i="2"/>
  <c r="D7" i="13"/>
  <c r="C7" i="13" s="1"/>
  <c r="F256" i="1"/>
  <c r="F270" i="1" s="1"/>
  <c r="L228" i="1"/>
  <c r="H256" i="1"/>
  <c r="H270" i="1" s="1"/>
  <c r="C10" i="10"/>
  <c r="D5" i="13"/>
  <c r="C5" i="13" s="1"/>
  <c r="C108" i="2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J651" i="1"/>
  <c r="G570" i="1"/>
  <c r="I433" i="1"/>
  <c r="G433" i="1"/>
  <c r="E103" i="2"/>
  <c r="I662" i="1"/>
  <c r="C27" i="10"/>
  <c r="L544" i="1" l="1"/>
  <c r="L256" i="1"/>
  <c r="L270" i="1" s="1"/>
  <c r="G631" i="1" s="1"/>
  <c r="J631" i="1" s="1"/>
  <c r="C114" i="2"/>
  <c r="C127" i="2"/>
  <c r="H647" i="1"/>
  <c r="J647" i="1" s="1"/>
  <c r="H645" i="1"/>
  <c r="H671" i="1"/>
  <c r="C6" i="10" s="1"/>
  <c r="I660" i="1"/>
  <c r="F663" i="1"/>
  <c r="F671" i="1" s="1"/>
  <c r="C4" i="10" s="1"/>
  <c r="C103" i="2"/>
  <c r="F192" i="1"/>
  <c r="G626" i="1" s="1"/>
  <c r="J626" i="1" s="1"/>
  <c r="E33" i="13"/>
  <c r="D35" i="13" s="1"/>
  <c r="G659" i="1"/>
  <c r="G663" i="1" s="1"/>
  <c r="G666" i="1" s="1"/>
  <c r="C28" i="10"/>
  <c r="D22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C144" i="2" l="1"/>
  <c r="F666" i="1"/>
  <c r="D23" i="10"/>
  <c r="D15" i="10"/>
  <c r="C30" i="10"/>
  <c r="D27" i="10"/>
  <c r="D19" i="10"/>
  <c r="D18" i="10"/>
  <c r="D24" i="10"/>
  <c r="I659" i="1"/>
  <c r="I663" i="1" s="1"/>
  <c r="I671" i="1" s="1"/>
  <c r="C7" i="10" s="1"/>
  <c r="D10" i="10"/>
  <c r="D25" i="10"/>
  <c r="G671" i="1"/>
  <c r="C5" i="10" s="1"/>
  <c r="D26" i="10"/>
  <c r="D12" i="10"/>
  <c r="D20" i="10"/>
  <c r="D17" i="10"/>
  <c r="D16" i="10"/>
  <c r="D13" i="10"/>
  <c r="D11" i="10"/>
  <c r="D21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<sst xmlns="http://schemas.openxmlformats.org/spreadsheetml/2006/main" count="3948" uniqueCount="914">
  <si>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</si>
  <si>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</si>
  <si>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</si>
  <si>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</si>
  <si>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</si>
  <si>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</si>
  <si>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</si>
  <si>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</si>
  <si>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</si>
  <si>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</si>
  <si>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</si>
  <si>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</si>
  <si>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</si>
  <si>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</si>
  <si>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</si>
  <si>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</si>
  <si>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</si>
  <si>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</si>
  <si>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</si>
  <si>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</si>
  <si>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</si>
  <si>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</si>
  <si>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</si>
  <si>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</si>
  <si>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</si>
  <si>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</si>
  <si>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</si>
  <si>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</si>
  <si>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</si>
  <si>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</si>
  <si>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</si>
  <si>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</si>
  <si>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</si>
  <si>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</si>
  <si>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</si>
  <si>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</si>
  <si>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</si>
  <si>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</si>
  <si>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</si>
  <si>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</si>
  <si>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</si>
  <si>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</si>
  <si>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</si>
  <si>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</si>
  <si>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</si>
  <si>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</si>
  <si>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</si>
  <si>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</si>
  <si>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</si>
  <si>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</si>
  <si>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</si>
  <si>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</si>
  <si>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</si>
  <si>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</si>
  <si>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</si>
  <si>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</si>
  <si>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</si>
  <si>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</si>
  <si>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</si>
  <si>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</si>
  <si>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</si>
  <si>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</si>
  <si>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</si>
  <si>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</si>
  <si>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</si>
  <si>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</si>
  <si>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</si>
  <si>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</si>
  <si>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</si>
  <si>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</si>
  <si>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</si>
  <si>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</si>
  <si>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</si>
  <si>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</si>
  <si>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</si>
  <si>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</si>
  <si>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</si>
  <si>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</si>
  <si>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</si>
  <si>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</si>
  <si>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</si>
  <si>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</si>
  <si>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</si>
  <si>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</si>
  <si>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</si>
  <si>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</si>
  <si>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</si>
  <si>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</si>
  <si>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</si>
  <si>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</si>
  <si>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</si>
  <si>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</si>
  <si>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</si>
  <si>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</si>
  <si>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</si>
  <si>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</si>
  <si>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</si>
  <si>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</si>
  <si>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</si>
  <si>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</si>
  <si>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</si>
  <si>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</si>
  <si>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</si>
  <si>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</si>
  <si>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</si>
  <si>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</si>
  <si>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</si>
  <si>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</si>
  <si>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</si>
  <si>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</si>
  <si>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</si>
  <si>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</si>
  <si>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</si>
  <si>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</si>
  <si>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</si>
  <si>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</si>
  <si>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</si>
  <si>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</si>
  <si>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</si>
  <si>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</si>
  <si>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</si>
  <si>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</si>
  <si>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</si>
  <si>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</si>
  <si>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</si>
  <si>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</si>
  <si>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</si>
  <si>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</si>
  <si>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</si>
  <si>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</si>
  <si>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</si>
  <si>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</si>
  <si>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</si>
  <si>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</si>
  <si>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</si>
  <si>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</si>
  <si>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</si>
  <si>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</si>
  <si>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</si>
  <si>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</si>
  <si>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</si>
  <si>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</si>
  <si>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</si>
  <si>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</si>
  <si>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</si>
  <si>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</si>
  <si>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</si>
  <si>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</si>
  <si>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</si>
  <si>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</si>
  <si>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</si>
  <si>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</si>
  <si>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</si>
  <si>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</si>
  <si>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</si>
  <si>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</si>
  <si>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</si>
  <si>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</si>
  <si>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</si>
  <si>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</si>
  <si>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</si>
  <si>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</si>
  <si>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</si>
  <si>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</si>
  <si>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</si>
  <si>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</si>
  <si>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</si>
  <si>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</si>
  <si>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</si>
  <si>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</si>
  <si>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</si>
  <si>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</si>
  <si>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</si>
  <si>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</si>
  <si>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</si>
  <si>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</si>
  <si>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</si>
  <si>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</si>
  <si>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</si>
  <si>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</si>
  <si>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</si>
  <si>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</si>
  <si>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</si>
  <si>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</si>
  <si>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</si>
  <si>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</si>
  <si>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</si>
  <si>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</si>
  <si>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</si>
  <si>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</si>
  <si>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</si>
  <si>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</si>
  <si>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</si>
  <si>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</si>
  <si>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</si>
  <si>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</si>
  <si>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</si>
  <si>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</si>
  <si>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</si>
  <si>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</si>
  <si>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</si>
  <si>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</si>
  <si>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</si>
  <si>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</si>
  <si>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</si>
  <si>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</si>
  <si>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</si>
  <si>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</si>
  <si>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</si>
  <si>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</si>
  <si>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</si>
  <si>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</si>
  <si>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</si>
  <si>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</si>
  <si>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</si>
  <si>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</si>
  <si>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</si>
  <si>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</si>
  <si>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</si>
  <si>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</si>
  <si>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</si>
  <si>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</si>
  <si>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</si>
  <si>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</si>
  <si>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</si>
  <si>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</si>
  <si>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</si>
  <si>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</si>
  <si>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</si>
  <si>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</si>
  <si>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</si>
  <si>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</si>
  <si>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</si>
  <si>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</si>
  <si>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</si>
  <si>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</si>
  <si>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</si>
  <si>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</si>
  <si>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</si>
  <si>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</si>
  <si>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</si>
  <si>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</si>
  <si>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</si>
  <si>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</si>
  <si>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</si>
  <si>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</si>
  <si>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</si>
  <si>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</si>
  <si>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</si>
  <si>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</si>
  <si>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</si>
  <si>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</si>
  <si>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</si>
  <si>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</si>
  <si>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</si>
  <si>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</si>
  <si>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</si>
  <si>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</si>
  <si>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</si>
  <si>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</si>
  <si>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</si>
  <si>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</si>
  <si>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</si>
  <si>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</si>
  <si>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</si>
  <si>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</si>
  <si>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</si>
  <si>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</si>
  <si>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</si>
  <si>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</si>
  <si>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</si>
  <si>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</si>
  <si>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</si>
  <si>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</si>
  <si>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</si>
  <si>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</si>
  <si>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</si>
  <si>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</si>
  <si>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</si>
  <si>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</si>
  <si>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</si>
  <si>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</si>
  <si>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</si>
  <si>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</si>
  <si>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</si>
  <si>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</si>
  <si>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</si>
  <si>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</si>
  <si>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</si>
  <si>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</si>
  <si>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</si>
  <si>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</si>
  <si>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</si>
  <si>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</si>
  <si>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</si>
  <si>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</si>
  <si>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</si>
  <si>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</si>
  <si>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</si>
  <si>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</si>
  <si>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</si>
  <si>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</si>
  <si>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</si>
  <si>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</si>
  <si>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</si>
  <si>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</si>
  <si>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</si>
  <si>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</si>
  <si>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</si>
  <si>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</si>
  <si>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</si>
  <si>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</si>
  <si>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</si>
  <si>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</si>
  <si>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</si>
  <si>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</si>
  <si>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</si>
  <si>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</si>
  <si>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</si>
  <si>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</si>
  <si>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</si>
  <si>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</si>
  <si>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</si>
  <si>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</si>
  <si>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</si>
  <si>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</si>
  <si>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</si>
  <si>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</si>
  <si>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</si>
  <si>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</si>
  <si>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</si>
  <si>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</si>
  <si>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</si>
  <si>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</si>
  <si>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</si>
  <si>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</si>
  <si>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</si>
  <si>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</si>
  <si>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</si>
  <si>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</si>
  <si>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</si>
  <si>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</si>
  <si>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</si>
  <si>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</si>
  <si>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</si>
  <si>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</si>
  <si>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</si>
  <si>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</si>
  <si>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</si>
  <si>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</si>
  <si>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</si>
  <si>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</si>
  <si>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</si>
  <si>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</si>
  <si>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</si>
  <si>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</si>
  <si>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</si>
  <si>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</si>
  <si>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</si>
  <si>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</si>
  <si>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</si>
  <si>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</si>
  <si>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</si>
  <si>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</si>
  <si>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</si>
  <si>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</si>
  <si>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</si>
  <si>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</si>
  <si>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</si>
  <si>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</si>
  <si>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</si>
  <si>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</si>
  <si>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</si>
  <si>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</si>
  <si>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</si>
  <si>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</si>
  <si>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</si>
  <si>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</si>
  <si>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</si>
  <si>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</si>
  <si>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</si>
  <si>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</si>
  <si>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</si>
  <si>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</si>
  <si>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</si>
  <si>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</si>
  <si>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</si>
  <si>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</si>
  <si>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</si>
  <si>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</si>
  <si>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</si>
  <si>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</si>
  <si>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</si>
  <si>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</si>
  <si>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</si>
  <si>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</si>
  <si>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</si>
  <si>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</si>
  <si>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</si>
  <si>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</si>
  <si>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</si>
  <si>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</si>
  <si>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</si>
  <si>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</si>
  <si>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</si>
  <si>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</si>
  <si>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</si>
  <si>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</si>
  <si>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</si>
  <si>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</si>
  <si>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</si>
  <si>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</si>
  <si>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</si>
  <si>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</si>
  <si>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</si>
  <si>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</si>
  <si>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</si>
  <si>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</si>
  <si>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</si>
  <si>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</si>
  <si>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</si>
  <si>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</si>
  <si>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</si>
  <si>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</si>
  <si>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</si>
  <si>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</si>
  <si>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</si>
  <si>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</si>
  <si>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</si>
  <si>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</si>
  <si>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</si>
  <si>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</si>
  <si>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</si>
  <si>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</si>
  <si>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</si>
  <si>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</si>
  <si>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</si>
  <si>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</si>
  <si>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</si>
  <si>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</si>
  <si>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</si>
  <si>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</si>
  <si>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</si>
  <si>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</si>
  <si>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</si>
  <si>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</si>
  <si>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</si>
  <si>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</si>
  <si>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</si>
  <si>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</si>
  <si>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</si>
  <si>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</si>
  <si>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</si>
  <si>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</si>
  <si>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</si>
  <si>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</si>
  <si>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</si>
  <si>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</si>
  <si>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</si>
  <si>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</si>
  <si>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</si>
  <si>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</si>
  <si>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</si>
  <si>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</si>
  <si>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</si>
  <si>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</si>
  <si>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</si>
  <si>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</si>
  <si>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</si>
  <si>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</si>
  <si>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</si>
  <si>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</si>
  <si>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</si>
  <si>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</si>
  <si>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</si>
  <si>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</si>
  <si>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</si>
  <si>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</si>
  <si>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</si>
  <si>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</si>
  <si>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</si>
  <si>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</si>
  <si>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</si>
  <si>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</si>
  <si>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</si>
  <si>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</si>
  <si>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</si>
  <si>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</si>
  <si>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</si>
  <si>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</si>
  <si>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</si>
  <si>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</si>
  <si>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</si>
  <si>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</si>
  <si>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</si>
  <si>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</si>
  <si>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</si>
  <si>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</si>
  <si>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</si>
  <si>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</si>
  <si>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</si>
  <si>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</si>
  <si>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</si>
  <si>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</si>
  <si>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</si>
  <si>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</si>
  <si>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</si>
  <si>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</si>
  <si>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</si>
  <si>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</si>
  <si>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</si>
  <si>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</si>
  <si>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</si>
  <si>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</si>
  <si>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</si>
  <si>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</si>
  <si>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</si>
  <si>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</si>
  <si>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</si>
  <si>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</si>
  <si>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</si>
  <si>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</si>
  <si>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</si>
  <si>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</si>
  <si>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</si>
  <si>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</si>
  <si>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</si>
  <si>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</si>
  <si>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</si>
  <si>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</si>
  <si>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</si>
  <si>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</si>
  <si>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</si>
  <si>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</si>
  <si>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</si>
  <si>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</si>
  <si>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</si>
  <si>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</si>
  <si>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</si>
  <si>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</si>
  <si>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</si>
  <si>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</si>
  <si>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</si>
  <si>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</si>
  <si>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</si>
  <si>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</si>
  <si>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</si>
  <si>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</si>
  <si>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</si>
  <si>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</si>
  <si>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</si>
  <si>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</si>
  <si>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</si>
  <si>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</si>
  <si>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</si>
  <si>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</si>
  <si>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</si>
  <si>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</si>
  <si>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</si>
  <si>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</si>
  <si>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</si>
  <si>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</si>
  <si>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</si>
  <si>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</si>
  <si>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</si>
  <si>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</si>
  <si>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</si>
  <si>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</si>
  <si>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</si>
  <si>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</si>
  <si>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</si>
  <si>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</si>
  <si>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</si>
  <si>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</si>
  <si>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</si>
  <si>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</si>
  <si>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</si>
  <si>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</si>
  <si>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</si>
  <si>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</si>
  <si>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</si>
  <si>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</si>
  <si>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</si>
  <si>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</si>
  <si>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</si>
  <si>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</si>
  <si>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</si>
  <si>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</si>
  <si>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</si>
  <si>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</si>
  <si>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</si>
  <si>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</si>
  <si>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</si>
  <si>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</si>
  <si>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</si>
  <si>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</si>
  <si>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</si>
  <si>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</si>
  <si>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</si>
  <si>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</si>
  <si>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</si>
  <si>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</si>
  <si>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</si>
  <si>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</si>
  <si>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</si>
  <si>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</si>
  <si>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</si>
  <si>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</si>
  <si>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</si>
  <si>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</si>
  <si>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</si>
  <si>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</si>
  <si>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</si>
  <si>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</si>
  <si>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</si>
  <si>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</si>
  <si>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</si>
  <si>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</si>
  <si>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</si>
  <si>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</si>
  <si>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</si>
  <si>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</si>
  <si>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</si>
  <si>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</si>
  <si>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</si>
  <si>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</si>
  <si>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</si>
  <si>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</si>
  <si>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</si>
  <si>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</si>
  <si>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</si>
  <si>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</si>
  <si>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</si>
  <si>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</si>
  <si>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</si>
  <si>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</si>
  <si>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</si>
  <si>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</si>
  <si>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</si>
  <si>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</si>
  <si>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</si>
  <si>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</si>
  <si>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</si>
  <si>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</si>
  <si>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</si>
  <si>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</si>
  <si>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</si>
  <si>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</si>
  <si>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</si>
  <si>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</si>
  <si>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</si>
  <si>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</si>
  <si>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</si>
  <si>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</si>
  <si>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</si>
  <si>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</si>
  <si>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</si>
  <si>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</si>
  <si>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</si>
  <si>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</si>
  <si>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</si>
  <si>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</si>
  <si>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</si>
  <si>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</si>
  <si>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</si>
  <si>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</si>
  <si>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</si>
  <si>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</si>
  <si>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</si>
  <si>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</si>
  <si>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</si>
  <si>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</si>
  <si>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</si>
  <si>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</si>
  <si>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</si>
  <si>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</si>
  <si>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</si>
  <si>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</si>
  <si>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</si>
  <si>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</si>
  <si>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</si>
  <si>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</si>
  <si>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</si>
  <si>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</si>
  <si>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</si>
  <si>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</si>
  <si>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</si>
  <si>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</si>
  <si>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</si>
  <si>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</si>
  <si>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</si>
  <si>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</si>
  <si>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</si>
  <si>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</si>
  <si>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</si>
  <si>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</si>
  <si>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</si>
  <si>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</si>
  <si>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</si>
  <si>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</si>
  <si>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</si>
  <si>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</si>
  <si>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</si>
  <si>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</si>
  <si>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</si>
  <si>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</si>
  <si>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</si>
  <si>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</si>
  <si>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</si>
  <si>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</si>
  <si>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</si>
  <si>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</si>
  <si>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</si>
  <si>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</si>
  <si>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</si>
  <si>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</si>
  <si>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</si>
  <si>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</si>
  <si>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</si>
  <si>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</si>
  <si>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</si>
  <si>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</si>
  <si>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</si>
  <si>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</si>
  <si>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</si>
  <si>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</si>
  <si>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</si>
  <si>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</si>
  <si>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</si>
  <si>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</si>
  <si>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</si>
  <si>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</si>
  <si>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</si>
  <si>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</si>
  <si>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</si>
  <si>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</si>
  <si>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</si>
  <si>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</si>
  <si>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</si>
  <si>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</si>
  <si>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</si>
  <si>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</si>
  <si>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</si>
  <si>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</si>
  <si>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</si>
  <si>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</si>
  <si>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</si>
  <si>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</si>
  <si>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</si>
  <si>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</si>
  <si>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</si>
  <si>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</si>
  <si>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</si>
  <si>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</si>
  <si>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</si>
  <si>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</si>
  <si>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</si>
  <si>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</si>
  <si>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</si>
  <si>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</si>
  <si>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</si>
  <si>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</si>
  <si>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</si>
  <si>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</si>
  <si>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</si>
  <si>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</si>
  <si>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</si>
  <si>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</si>
  <si>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</si>
  <si>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</si>
  <si>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</si>
  <si>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</si>
  <si>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</si>
  <si>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</si>
  <si>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</si>
  <si>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</si>
  <si>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</si>
  <si>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</si>
  <si>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</si>
  <si>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</si>
  <si>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</si>
  <si>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</si>
  <si>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</si>
  <si>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</si>
  <si>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</si>
  <si>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</si>
  <si>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</si>
  <si>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</si>
  <si>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</si>
  <si>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</si>
  <si>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</si>
  <si>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</si>
  <si>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</si>
  <si>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</si>
  <si>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</si>
  <si>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</si>
  <si>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</si>
  <si>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</si>
  <si>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</si>
  <si>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</si>
  <si>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</si>
  <si>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</si>
  <si>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</si>
  <si>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</si>
  <si>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</si>
  <si>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</si>
  <si>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</si>
  <si>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</si>
  <si>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</si>
  <si>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</si>
  <si>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</si>
  <si>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</si>
  <si>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</si>
  <si>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</si>
  <si>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</si>
  <si>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</si>
  <si>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</si>
  <si>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</si>
  <si>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</si>
  <si>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</si>
  <si>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</si>
  <si>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</si>
  <si>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</si>
  <si>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</si>
  <si>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</si>
  <si>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</si>
  <si>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</si>
  <si>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</si>
  <si>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</si>
  <si>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</si>
  <si>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</si>
  <si>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</si>
  <si>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</si>
  <si>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</si>
  <si>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</si>
  <si>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</si>
  <si>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</si>
  <si>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</si>
  <si>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</si>
  <si>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</si>
  <si>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</si>
  <si>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</si>
  <si>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</si>
  <si>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</si>
  <si>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</si>
  <si>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</si>
  <si>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</si>
  <si>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</si>
  <si>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</si>
  <si>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</si>
  <si>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</si>
  <si>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</si>
  <si>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</si>
  <si>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</si>
  <si>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</si>
  <si>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</si>
  <si>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</si>
  <si>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</si>
  <si>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</si>
  <si>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</si>
  <si>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</si>
  <si>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</si>
  <si>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</si>
  <si>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</si>
  <si>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</si>
  <si>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</si>
  <si>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</si>
  <si>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</si>
  <si>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</si>
  <si>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</si>
  <si>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</si>
  <si>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</si>
  <si>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</si>
  <si>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</si>
  <si>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</si>
  <si>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</si>
  <si>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</si>
  <si>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</si>
  <si>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</si>
  <si>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</si>
  <si>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</si>
  <si>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</si>
  <si>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</si>
  <si>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</si>
  <si>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</si>
  <si>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</si>
  <si>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</si>
  <si>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</si>
  <si>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</si>
  <si>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</si>
  <si>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</si>
  <si>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</si>
  <si>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</si>
  <si>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</si>
  <si>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</si>
  <si>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</si>
  <si>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</si>
  <si>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</si>
  <si>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</si>
  <si>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</si>
  <si>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</si>
  <si>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</si>
  <si>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</si>
  <si>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</si>
  <si>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</si>
  <si>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</si>
  <si>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</si>
  <si>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</si>
  <si>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</si>
  <si>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Nottingham School District</t>
  </si>
  <si>
    <t>Tuition income for the district is receivedfrom those parents that elect to send their child to Coe Brown Northwood Academy</t>
  </si>
  <si>
    <t xml:space="preserve">and are required to remit to the district the differential in tuition to attend CBNA to that of Dover High School.  </t>
  </si>
  <si>
    <t>The tuition differntial for FY12 was $1,807 for grades 10-12 and $1,557 for Grade 9 as they pay $250 direct to CBNA to</t>
  </si>
  <si>
    <t>hold their child's slot for the upcoming school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</si>
</sst>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413</v>
      </c>
      <c r="C2" s="21">
        <v>413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496838.29</v>
      </c>
      <c r="G9" s="18">
        <v>0</v>
      </c>
      <c r="H9" s="18"/>
      <c r="I9" s="18"/>
      <c r="J9" s="67">
        <f>SUM(I438)</f>
        <v>86616.320000000007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4323.67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10127.629999999999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44584.35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2145.8000000000002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545746.30999999994</v>
      </c>
      <c r="G19" s="41">
        <f>SUM(G9:G18)</f>
        <v>12273.43</v>
      </c>
      <c r="H19" s="41">
        <f>SUM(H9:H18)</f>
        <v>0</v>
      </c>
      <c r="I19" s="41">
        <f>SUM(I9:I18)</f>
        <v>0</v>
      </c>
      <c r="J19" s="41">
        <f>SUM(J9:J18)</f>
        <v>86616.320000000007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4323.67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244136.49</v>
      </c>
      <c r="G24" s="18">
        <v>3155.09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119370.34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105.87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363506.82999999996</v>
      </c>
      <c r="G32" s="41">
        <f>SUM(G22:G31)</f>
        <v>7584.63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2145.8000000000002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2543</v>
      </c>
      <c r="H47" s="18"/>
      <c r="I47" s="18"/>
      <c r="J47" s="13">
        <f>SUM(I458)</f>
        <v>86616.320000000007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182239.48-30000</f>
        <v>152239.48000000001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182239.48</v>
      </c>
      <c r="G50" s="41">
        <f>SUM(G35:G49)</f>
        <v>4688.8</v>
      </c>
      <c r="H50" s="41">
        <f>SUM(H35:H49)</f>
        <v>0</v>
      </c>
      <c r="I50" s="41">
        <f>SUM(I35:I49)</f>
        <v>0</v>
      </c>
      <c r="J50" s="41">
        <f>SUM(J35:J49)</f>
        <v>86616.320000000007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545746.30999999994</v>
      </c>
      <c r="G51" s="41">
        <f>G50+G32</f>
        <v>12273.43</v>
      </c>
      <c r="H51" s="41">
        <f>H50+H32</f>
        <v>0</v>
      </c>
      <c r="I51" s="41">
        <f>I50+I32</f>
        <v>0</v>
      </c>
      <c r="J51" s="41">
        <f>J50+J32</f>
        <v>86616.320000000007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6578630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6578630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181690.38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181690.38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122.9</v>
      </c>
      <c r="G95" s="18"/>
      <c r="H95" s="18"/>
      <c r="I95" s="18"/>
      <c r="J95" s="18">
        <v>1966.32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90242.96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1286.97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362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1771.8700000000001</v>
      </c>
      <c r="G110" s="41">
        <f>SUM(G95:G109)</f>
        <v>90242.96</v>
      </c>
      <c r="H110" s="41">
        <f>SUM(H95:H109)</f>
        <v>0</v>
      </c>
      <c r="I110" s="41">
        <f>SUM(I95:I109)</f>
        <v>0</v>
      </c>
      <c r="J110" s="41">
        <f>SUM(J95:J109)</f>
        <v>1966.32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6762092.25</v>
      </c>
      <c r="G111" s="41">
        <f>G59+G110</f>
        <v>90242.96</v>
      </c>
      <c r="H111" s="41">
        <f>H59+H78+H93+H110</f>
        <v>0</v>
      </c>
      <c r="I111" s="41">
        <f>I59+I110</f>
        <v>0</v>
      </c>
      <c r="J111" s="41">
        <f>J59+J110</f>
        <v>1966.32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1167725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1311705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2479430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61759.25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2597.7800000000002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61759.25</v>
      </c>
      <c r="G135" s="41">
        <f>SUM(G122:G134)</f>
        <v>2597.7800000000002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2541189.25</v>
      </c>
      <c r="G139" s="41">
        <f>G120+SUM(G135:G136)</f>
        <v>2597.7800000000002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54547.58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57696.13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57696.13</v>
      </c>
      <c r="G161" s="41">
        <f>SUM(G149:G160)</f>
        <v>54547.58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57696.13</v>
      </c>
      <c r="G168" s="41">
        <f>G146+G161+SUM(G162:G167)</f>
        <v>54547.58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37702.58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37702.58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37702.58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9360977.6300000008</v>
      </c>
      <c r="G192" s="47">
        <f>G111+G139+G168+G191</f>
        <v>185090.90000000002</v>
      </c>
      <c r="H192" s="47">
        <f>H111+H139+H168+H191</f>
        <v>0</v>
      </c>
      <c r="I192" s="47">
        <f>I111+I139+I168+I191</f>
        <v>0</v>
      </c>
      <c r="J192" s="47">
        <f>J111+J139+J191</f>
        <v>1966.32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1813624.66+0.04</f>
        <v>1813624.7</v>
      </c>
      <c r="G196" s="18">
        <v>803666.33</v>
      </c>
      <c r="H196" s="18">
        <f>180.25+189+19465.72</f>
        <v>19834.97</v>
      </c>
      <c r="I196" s="18">
        <v>53516.56</v>
      </c>
      <c r="J196" s="18">
        <v>0</v>
      </c>
      <c r="K196" s="18">
        <v>149</v>
      </c>
      <c r="L196" s="19">
        <f>SUM(F196:K196)</f>
        <v>2690791.56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702671.66</v>
      </c>
      <c r="G197" s="18">
        <v>262524.98</v>
      </c>
      <c r="H197" s="18">
        <f>118.2+117064.39+149163.86+57323.05</f>
        <v>323669.49999999994</v>
      </c>
      <c r="I197" s="18">
        <v>5382.11</v>
      </c>
      <c r="J197" s="18">
        <v>531.95000000000005</v>
      </c>
      <c r="K197" s="18">
        <v>0</v>
      </c>
      <c r="L197" s="19">
        <f>SUM(F197:K197)</f>
        <v>1294780.2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27600</v>
      </c>
      <c r="G199" s="18">
        <v>3213.16</v>
      </c>
      <c r="H199" s="18">
        <v>3053</v>
      </c>
      <c r="I199" s="18">
        <v>1060.22</v>
      </c>
      <c r="J199" s="18">
        <v>288</v>
      </c>
      <c r="K199" s="18">
        <v>1011</v>
      </c>
      <c r="L199" s="19">
        <f>SUM(F199:K199)</f>
        <v>36225.380000000005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280673.28999999998</v>
      </c>
      <c r="G201" s="18">
        <f>42928.11+81869.61</f>
        <v>124797.72</v>
      </c>
      <c r="H201" s="18">
        <v>81839.240000000005</v>
      </c>
      <c r="I201" s="18">
        <v>997.62</v>
      </c>
      <c r="J201" s="18">
        <v>0</v>
      </c>
      <c r="K201" s="18">
        <v>0</v>
      </c>
      <c r="L201" s="19">
        <f t="shared" ref="L201:L207" si="0">SUM(F201:K201)</f>
        <v>488307.87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130391.59</v>
      </c>
      <c r="G202" s="18">
        <f>48207.84+42896.9</f>
        <v>91104.739999999991</v>
      </c>
      <c r="H202" s="18">
        <v>16744.23</v>
      </c>
      <c r="I202" s="18">
        <v>7046.31</v>
      </c>
      <c r="J202" s="18">
        <v>21428.5</v>
      </c>
      <c r="K202" s="18">
        <v>0</v>
      </c>
      <c r="L202" s="19">
        <f t="shared" si="0"/>
        <v>266715.37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8440.01</v>
      </c>
      <c r="G203" s="18">
        <v>612.95000000000005</v>
      </c>
      <c r="H203" s="18">
        <f>24078.62+236968.52</f>
        <v>261047.13999999998</v>
      </c>
      <c r="I203" s="18">
        <v>2247.1</v>
      </c>
      <c r="J203" s="18">
        <v>0</v>
      </c>
      <c r="K203" s="18">
        <v>0</v>
      </c>
      <c r="L203" s="19">
        <f t="shared" si="0"/>
        <v>272347.19999999995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233568.03</v>
      </c>
      <c r="G204" s="18">
        <f>45101.57+60345.72</f>
        <v>105447.29000000001</v>
      </c>
      <c r="H204" s="18">
        <v>12101.11</v>
      </c>
      <c r="I204" s="18">
        <v>2639.7</v>
      </c>
      <c r="J204" s="18">
        <v>0</v>
      </c>
      <c r="K204" s="18">
        <v>1440</v>
      </c>
      <c r="L204" s="19">
        <f t="shared" si="0"/>
        <v>355196.13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26971.040000000001</v>
      </c>
      <c r="G205" s="18">
        <v>10480.75</v>
      </c>
      <c r="H205" s="18">
        <v>809.97</v>
      </c>
      <c r="I205" s="18">
        <v>1380.14</v>
      </c>
      <c r="J205" s="18">
        <v>0</v>
      </c>
      <c r="K205" s="18">
        <v>0</v>
      </c>
      <c r="L205" s="19">
        <f t="shared" si="0"/>
        <v>39641.9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125502.83</v>
      </c>
      <c r="G206" s="18">
        <f>19114.3+39893.16</f>
        <v>59007.460000000006</v>
      </c>
      <c r="H206" s="18">
        <v>81639.899999999994</v>
      </c>
      <c r="I206" s="18">
        <v>105624.12</v>
      </c>
      <c r="J206" s="18">
        <v>13812.4</v>
      </c>
      <c r="K206" s="18">
        <v>0</v>
      </c>
      <c r="L206" s="19">
        <f t="shared" si="0"/>
        <v>385586.71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493655.54</v>
      </c>
      <c r="I207" s="18"/>
      <c r="J207" s="18"/>
      <c r="K207" s="18"/>
      <c r="L207" s="19">
        <f t="shared" si="0"/>
        <v>493655.54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3349443.1499999994</v>
      </c>
      <c r="G210" s="41">
        <f t="shared" si="1"/>
        <v>1460855.38</v>
      </c>
      <c r="H210" s="41">
        <f t="shared" si="1"/>
        <v>1294394.5999999999</v>
      </c>
      <c r="I210" s="41">
        <f t="shared" si="1"/>
        <v>179893.88</v>
      </c>
      <c r="J210" s="41">
        <f t="shared" si="1"/>
        <v>36060.85</v>
      </c>
      <c r="K210" s="41">
        <f t="shared" si="1"/>
        <v>2600</v>
      </c>
      <c r="L210" s="41">
        <f t="shared" si="1"/>
        <v>6323247.8600000003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1243257.98+1392400.09</f>
        <v>2635658.0700000003</v>
      </c>
      <c r="I232" s="18"/>
      <c r="J232" s="18"/>
      <c r="K232" s="18"/>
      <c r="L232" s="19">
        <f>SUM(F232:K232)</f>
        <v>2635658.0700000003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313248.43</v>
      </c>
      <c r="I233" s="18"/>
      <c r="J233" s="18"/>
      <c r="K233" s="18"/>
      <c r="L233" s="19">
        <f>SUM(F233:K233)</f>
        <v>313248.43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4956.8900000000003</v>
      </c>
      <c r="G239" s="18">
        <v>359.98</v>
      </c>
      <c r="H239" s="18">
        <f>14141.41+139171.93</f>
        <v>153313.34</v>
      </c>
      <c r="I239" s="18">
        <v>1319.72</v>
      </c>
      <c r="J239" s="18"/>
      <c r="K239" s="18"/>
      <c r="L239" s="19">
        <f t="shared" si="4"/>
        <v>159949.93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15840.14</v>
      </c>
      <c r="G241" s="18">
        <v>6155.36</v>
      </c>
      <c r="H241" s="18">
        <v>475.69</v>
      </c>
      <c r="I241" s="18">
        <v>810.56</v>
      </c>
      <c r="J241" s="18"/>
      <c r="K241" s="18"/>
      <c r="L241" s="19">
        <f t="shared" si="4"/>
        <v>23281.75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248286.26</v>
      </c>
      <c r="I243" s="18"/>
      <c r="J243" s="18"/>
      <c r="K243" s="18"/>
      <c r="L243" s="19">
        <f t="shared" si="4"/>
        <v>248286.26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20797.03</v>
      </c>
      <c r="G246" s="41">
        <f t="shared" si="5"/>
        <v>6515.34</v>
      </c>
      <c r="H246" s="41">
        <f t="shared" si="5"/>
        <v>3350981.79</v>
      </c>
      <c r="I246" s="41">
        <f t="shared" si="5"/>
        <v>2130.2799999999997</v>
      </c>
      <c r="J246" s="41">
        <f t="shared" si="5"/>
        <v>0</v>
      </c>
      <c r="K246" s="41">
        <f t="shared" si="5"/>
        <v>0</v>
      </c>
      <c r="L246" s="41">
        <f t="shared" si="5"/>
        <v>3380424.4400000004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21600</v>
      </c>
      <c r="I254" s="18"/>
      <c r="J254" s="18"/>
      <c r="K254" s="18"/>
      <c r="L254" s="19">
        <f t="shared" si="6"/>
        <v>21600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21600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21600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3370240.1799999992</v>
      </c>
      <c r="G256" s="41">
        <f t="shared" si="8"/>
        <v>1467370.72</v>
      </c>
      <c r="H256" s="41">
        <f t="shared" si="8"/>
        <v>4666976.3899999997</v>
      </c>
      <c r="I256" s="41">
        <f t="shared" si="8"/>
        <v>182024.16</v>
      </c>
      <c r="J256" s="41">
        <f t="shared" si="8"/>
        <v>36060.85</v>
      </c>
      <c r="K256" s="41">
        <f t="shared" si="8"/>
        <v>2600</v>
      </c>
      <c r="L256" s="41">
        <f t="shared" si="8"/>
        <v>9725272.3000000007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37702.58</v>
      </c>
      <c r="L262" s="19">
        <f>SUM(F262:K262)</f>
        <v>37702.58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37702.58</v>
      </c>
      <c r="L269" s="41">
        <f t="shared" si="9"/>
        <v>37702.58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3370240.1799999992</v>
      </c>
      <c r="G270" s="42">
        <f t="shared" si="11"/>
        <v>1467370.72</v>
      </c>
      <c r="H270" s="42">
        <f t="shared" si="11"/>
        <v>4666976.3899999997</v>
      </c>
      <c r="I270" s="42">
        <f t="shared" si="11"/>
        <v>182024.16</v>
      </c>
      <c r="J270" s="42">
        <f t="shared" si="11"/>
        <v>36060.85</v>
      </c>
      <c r="K270" s="42">
        <f t="shared" si="11"/>
        <v>40302.58</v>
      </c>
      <c r="L270" s="42">
        <f t="shared" si="11"/>
        <v>9762974.8800000008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68709.899999999994</v>
      </c>
      <c r="G357" s="18">
        <v>36694.559999999998</v>
      </c>
      <c r="H357" s="18">
        <v>3891.35</v>
      </c>
      <c r="I357" s="18">
        <v>71106.289999999994</v>
      </c>
      <c r="J357" s="18">
        <v>0</v>
      </c>
      <c r="K357" s="18">
        <v>0</v>
      </c>
      <c r="L357" s="13">
        <f>SUM(F357:K357)</f>
        <v>180402.09999999998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68709.899999999994</v>
      </c>
      <c r="G361" s="47">
        <f t="shared" si="22"/>
        <v>36694.559999999998</v>
      </c>
      <c r="H361" s="47">
        <f t="shared" si="22"/>
        <v>3891.35</v>
      </c>
      <c r="I361" s="47">
        <f t="shared" si="22"/>
        <v>71106.289999999994</v>
      </c>
      <c r="J361" s="47">
        <f t="shared" si="22"/>
        <v>0</v>
      </c>
      <c r="K361" s="47">
        <f t="shared" si="22"/>
        <v>0</v>
      </c>
      <c r="L361" s="47">
        <f t="shared" si="22"/>
        <v>180402.09999999998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68109.3</v>
      </c>
      <c r="G366" s="18"/>
      <c r="H366" s="18"/>
      <c r="I366" s="56">
        <f>SUM(F366:H366)</f>
        <v>68109.3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2996.99</v>
      </c>
      <c r="G367" s="63"/>
      <c r="H367" s="63"/>
      <c r="I367" s="56">
        <f>SUM(F367:H367)</f>
        <v>2996.99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71106.290000000008</v>
      </c>
      <c r="G368" s="47">
        <f>SUM(G366:G367)</f>
        <v>0</v>
      </c>
      <c r="H368" s="47">
        <f>SUM(H366:H367)</f>
        <v>0</v>
      </c>
      <c r="I368" s="47">
        <f>SUM(I366:I367)</f>
        <v>71106.290000000008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770.54</v>
      </c>
      <c r="I395" s="18"/>
      <c r="J395" s="24" t="s">
        <v>289</v>
      </c>
      <c r="K395" s="24" t="s">
        <v>289</v>
      </c>
      <c r="L395" s="56">
        <f t="shared" si="26"/>
        <v>770.54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1195.78</v>
      </c>
      <c r="I396" s="18"/>
      <c r="J396" s="24" t="s">
        <v>289</v>
      </c>
      <c r="K396" s="24" t="s">
        <v>289</v>
      </c>
      <c r="L396" s="56">
        <f t="shared" si="26"/>
        <v>1195.78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1966.32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1966.32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1966.32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1966.32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86616.320000000007</v>
      </c>
      <c r="G438" s="18"/>
      <c r="H438" s="18"/>
      <c r="I438" s="56">
        <f t="shared" ref="I438:I444" si="33">SUM(F438:H438)</f>
        <v>86616.320000000007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86616.320000000007</v>
      </c>
      <c r="G445" s="13">
        <f>SUM(G438:G444)</f>
        <v>0</v>
      </c>
      <c r="H445" s="13">
        <f>SUM(H438:H444)</f>
        <v>0</v>
      </c>
      <c r="I445" s="13">
        <f>SUM(I438:I444)</f>
        <v>86616.320000000007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86616.320000000007</v>
      </c>
      <c r="G458" s="18"/>
      <c r="H458" s="18"/>
      <c r="I458" s="56">
        <f t="shared" si="34"/>
        <v>86616.320000000007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86616.320000000007</v>
      </c>
      <c r="G459" s="83">
        <f>SUM(G453:G458)</f>
        <v>0</v>
      </c>
      <c r="H459" s="83">
        <f>SUM(H453:H458)</f>
        <v>0</v>
      </c>
      <c r="I459" s="83">
        <f>SUM(I453:I458)</f>
        <v>86616.320000000007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86616.320000000007</v>
      </c>
      <c r="G460" s="42">
        <f>G451+G459</f>
        <v>0</v>
      </c>
      <c r="H460" s="42">
        <f>H451+H459</f>
        <v>0</v>
      </c>
      <c r="I460" s="42">
        <f>I451+I459</f>
        <v>86616.320000000007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584236.73</v>
      </c>
      <c r="G464" s="18">
        <v>0</v>
      </c>
      <c r="H464" s="18">
        <v>0</v>
      </c>
      <c r="I464" s="18">
        <v>0</v>
      </c>
      <c r="J464" s="18">
        <v>84650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9360977.6300000008</v>
      </c>
      <c r="G467" s="18">
        <v>185090.9</v>
      </c>
      <c r="H467" s="18">
        <v>0</v>
      </c>
      <c r="I467" s="18">
        <v>0</v>
      </c>
      <c r="J467" s="18">
        <v>1966.32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9360977.6300000008</v>
      </c>
      <c r="G469" s="53">
        <f>SUM(G467:G468)</f>
        <v>185090.9</v>
      </c>
      <c r="H469" s="53">
        <f>SUM(H467:H468)</f>
        <v>0</v>
      </c>
      <c r="I469" s="53">
        <f>SUM(I467:I468)</f>
        <v>0</v>
      </c>
      <c r="J469" s="53">
        <f>SUM(J467:J468)</f>
        <v>1966.32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9762974.8800000008</v>
      </c>
      <c r="G471" s="18">
        <v>180402.1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9762974.8800000008</v>
      </c>
      <c r="G473" s="53">
        <f>SUM(G471:G472)</f>
        <v>180402.1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182239.48000000045</v>
      </c>
      <c r="G475" s="53">
        <f>(G464+G469)- G473</f>
        <v>4688.7999999999884</v>
      </c>
      <c r="H475" s="53">
        <f>(H464+H469)- H473</f>
        <v>0</v>
      </c>
      <c r="I475" s="53">
        <f>(I464+I469)- I473</f>
        <v>0</v>
      </c>
      <c r="J475" s="53">
        <f>(J464+J469)- J473</f>
        <v>86616.320000000007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702671.66</v>
      </c>
      <c r="G520" s="18">
        <v>262524.98</v>
      </c>
      <c r="H520" s="18">
        <v>323669.5</v>
      </c>
      <c r="I520" s="18">
        <v>5382.11</v>
      </c>
      <c r="J520" s="18">
        <v>531.95000000000005</v>
      </c>
      <c r="K520" s="18">
        <v>0</v>
      </c>
      <c r="L520" s="88">
        <f>SUM(F520:K520)</f>
        <v>1294780.2000000002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313248.43</v>
      </c>
      <c r="I522" s="18"/>
      <c r="J522" s="18"/>
      <c r="K522" s="18"/>
      <c r="L522" s="88">
        <f>SUM(F522:K522)</f>
        <v>313248.43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702671.66</v>
      </c>
      <c r="G523" s="108">
        <f t="shared" ref="G523:L523" si="36">SUM(G520:G522)</f>
        <v>262524.98</v>
      </c>
      <c r="H523" s="108">
        <f t="shared" si="36"/>
        <v>636917.92999999993</v>
      </c>
      <c r="I523" s="108">
        <f t="shared" si="36"/>
        <v>5382.11</v>
      </c>
      <c r="J523" s="108">
        <f t="shared" si="36"/>
        <v>531.95000000000005</v>
      </c>
      <c r="K523" s="108">
        <f t="shared" si="36"/>
        <v>0</v>
      </c>
      <c r="L523" s="89">
        <f t="shared" si="36"/>
        <v>1608028.6300000001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81839.240000000005</v>
      </c>
      <c r="I525" s="18"/>
      <c r="J525" s="18"/>
      <c r="K525" s="18"/>
      <c r="L525" s="88">
        <f>SUM(F525:K525)</f>
        <v>81839.240000000005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81839.240000000005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81839.240000000005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54788.6</v>
      </c>
      <c r="I530" s="18"/>
      <c r="J530" s="18"/>
      <c r="K530" s="18"/>
      <c r="L530" s="88">
        <f>SUM(F530:K530)</f>
        <v>54788.6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20968.47</v>
      </c>
      <c r="I532" s="18"/>
      <c r="J532" s="18"/>
      <c r="K532" s="18"/>
      <c r="L532" s="88">
        <f>SUM(F532:K532)</f>
        <v>20968.47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75757.070000000007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75757.070000000007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135771.01</v>
      </c>
      <c r="I540" s="18"/>
      <c r="J540" s="18"/>
      <c r="K540" s="18"/>
      <c r="L540" s="88">
        <f>SUM(F540:K540)</f>
        <v>135771.01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49782.26</v>
      </c>
      <c r="I542" s="18"/>
      <c r="J542" s="18"/>
      <c r="K542" s="18"/>
      <c r="L542" s="88">
        <f>SUM(F542:K542)</f>
        <v>49782.26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185553.27000000002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185553.27000000002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702671.66</v>
      </c>
      <c r="G544" s="89">
        <f t="shared" ref="G544:L544" si="41">G523+G528+G533+G538+G543</f>
        <v>262524.98</v>
      </c>
      <c r="H544" s="89">
        <f t="shared" si="41"/>
        <v>980067.51</v>
      </c>
      <c r="I544" s="89">
        <f t="shared" si="41"/>
        <v>5382.11</v>
      </c>
      <c r="J544" s="89">
        <f t="shared" si="41"/>
        <v>531.95000000000005</v>
      </c>
      <c r="K544" s="89">
        <f t="shared" si="41"/>
        <v>0</v>
      </c>
      <c r="L544" s="89">
        <f t="shared" si="41"/>
        <v>1951178.2100000002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1294780.2000000002</v>
      </c>
      <c r="G548" s="87">
        <f>L525</f>
        <v>81839.240000000005</v>
      </c>
      <c r="H548" s="87">
        <f>L530</f>
        <v>54788.6</v>
      </c>
      <c r="I548" s="87">
        <f>L535</f>
        <v>0</v>
      </c>
      <c r="J548" s="87">
        <f>L540</f>
        <v>135771.01</v>
      </c>
      <c r="K548" s="87">
        <f>SUM(F548:J548)</f>
        <v>1567179.0500000003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313248.43</v>
      </c>
      <c r="G550" s="87">
        <f>L527</f>
        <v>0</v>
      </c>
      <c r="H550" s="87">
        <f>L532</f>
        <v>20968.47</v>
      </c>
      <c r="I550" s="87">
        <f>L537</f>
        <v>0</v>
      </c>
      <c r="J550" s="87">
        <f>L542</f>
        <v>49782.26</v>
      </c>
      <c r="K550" s="87">
        <f>SUM(F550:J550)</f>
        <v>383999.16000000003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1608028.6300000001</v>
      </c>
      <c r="G551" s="89">
        <f t="shared" si="42"/>
        <v>81839.240000000005</v>
      </c>
      <c r="H551" s="89">
        <f t="shared" si="42"/>
        <v>75757.070000000007</v>
      </c>
      <c r="I551" s="89">
        <f t="shared" si="42"/>
        <v>0</v>
      </c>
      <c r="J551" s="89">
        <f t="shared" si="42"/>
        <v>185553.27000000002</v>
      </c>
      <c r="K551" s="89">
        <f t="shared" si="42"/>
        <v>1951178.2100000004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1243257.98</v>
      </c>
      <c r="I574" s="87">
        <f>SUM(F574:H574)</f>
        <v>1243257.98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1392400.09</v>
      </c>
      <c r="I576" s="87">
        <f t="shared" si="47"/>
        <v>1392400.09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57729.29</v>
      </c>
      <c r="G578" s="18"/>
      <c r="H578" s="18">
        <v>219792.7</v>
      </c>
      <c r="I578" s="87">
        <f t="shared" si="47"/>
        <v>277521.99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91434</v>
      </c>
      <c r="G579" s="18"/>
      <c r="H579" s="18">
        <v>8580</v>
      </c>
      <c r="I579" s="87">
        <f t="shared" si="47"/>
        <v>100014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9387.98</v>
      </c>
      <c r="I580" s="87">
        <f t="shared" si="47"/>
        <v>9387.98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75487.75</v>
      </c>
      <c r="I582" s="87">
        <f t="shared" si="47"/>
        <v>75487.75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350404.55</v>
      </c>
      <c r="I590" s="18"/>
      <c r="J590" s="18">
        <f>119102.4+79401.6</f>
        <v>198504</v>
      </c>
      <c r="K590" s="104">
        <f t="shared" ref="K590:K596" si="48">SUM(H590:J590)</f>
        <v>548908.55000000005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135771.01</v>
      </c>
      <c r="I591" s="18"/>
      <c r="J591" s="18">
        <v>49782.26</v>
      </c>
      <c r="K591" s="104">
        <f t="shared" si="48"/>
        <v>185553.27000000002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2770.64</v>
      </c>
      <c r="I593" s="18"/>
      <c r="J593" s="18"/>
      <c r="K593" s="104">
        <f t="shared" si="48"/>
        <v>2770.64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4709.34</v>
      </c>
      <c r="I594" s="18"/>
      <c r="J594" s="18"/>
      <c r="K594" s="104">
        <f t="shared" si="48"/>
        <v>4709.34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493655.54000000004</v>
      </c>
      <c r="I597" s="108">
        <f>SUM(I590:I596)</f>
        <v>0</v>
      </c>
      <c r="J597" s="108">
        <f>SUM(J590:J596)</f>
        <v>248286.26</v>
      </c>
      <c r="K597" s="108">
        <f>SUM(K590:K596)</f>
        <v>741941.8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36060.85</v>
      </c>
      <c r="I603" s="18"/>
      <c r="J603" s="18"/>
      <c r="K603" s="104">
        <f>SUM(H603:J603)</f>
        <v>36060.85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36060.85</v>
      </c>
      <c r="I604" s="108">
        <f>SUM(I601:I603)</f>
        <v>0</v>
      </c>
      <c r="J604" s="108">
        <f>SUM(J601:J603)</f>
        <v>0</v>
      </c>
      <c r="K604" s="108">
        <f>SUM(K601:K603)</f>
        <v>36060.85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545746.30999999994</v>
      </c>
      <c r="H616" s="109">
        <f>SUM(F51)</f>
        <v>545746.30999999994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12273.43</v>
      </c>
      <c r="H617" s="109">
        <f>SUM(G51)</f>
        <v>12273.43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86616.320000000007</v>
      </c>
      <c r="H620" s="109">
        <f>SUM(J51)</f>
        <v>86616.320000000007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182239.48</v>
      </c>
      <c r="H621" s="109">
        <f>F475</f>
        <v>182239.48000000045</v>
      </c>
      <c r="I621" s="121" t="s">
        <v>101</v>
      </c>
      <c r="J621" s="109">
        <f t="shared" ref="J621:J654" si="50">G621-H621</f>
        <v>-4.3655745685100555E-10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4688.8</v>
      </c>
      <c r="H622" s="109">
        <f>G475</f>
        <v>4688.7999999999884</v>
      </c>
      <c r="I622" s="121" t="s">
        <v>102</v>
      </c>
      <c r="J622" s="109">
        <f t="shared" si="50"/>
        <v>1.1823431123048067E-11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86616.320000000007</v>
      </c>
      <c r="H625" s="109">
        <f>J475</f>
        <v>86616.320000000007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9360977.6300000008</v>
      </c>
      <c r="H626" s="104">
        <f>SUM(F467)</f>
        <v>9360977.6300000008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185090.90000000002</v>
      </c>
      <c r="H627" s="104">
        <f>SUM(G467)</f>
        <v>185090.9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1966.32</v>
      </c>
      <c r="H630" s="104">
        <f>SUM(J467)</f>
        <v>1966.32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9762974.8800000008</v>
      </c>
      <c r="H631" s="104">
        <f>SUM(F471)</f>
        <v>9762974.8800000008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71106.289999999994</v>
      </c>
      <c r="H633" s="104">
        <f>I368</f>
        <v>71106.290000000008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180402.09999999998</v>
      </c>
      <c r="H634" s="104">
        <f>SUM(G471)</f>
        <v>180402.1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1966.32</v>
      </c>
      <c r="H636" s="164">
        <f>SUM(J467)</f>
        <v>1966.32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86616.320000000007</v>
      </c>
      <c r="H638" s="104">
        <f>SUM(F460)</f>
        <v>86616.320000000007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86616.320000000007</v>
      </c>
      <c r="H641" s="104">
        <f>SUM(I460)</f>
        <v>86616.320000000007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1966.32</v>
      </c>
      <c r="H643" s="104">
        <f>H407</f>
        <v>1966.32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1966.32</v>
      </c>
      <c r="H645" s="104">
        <f>L407</f>
        <v>1966.32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741941.8</v>
      </c>
      <c r="H646" s="104">
        <f>L207+L225+L243</f>
        <v>741941.8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36060.85</v>
      </c>
      <c r="H647" s="104">
        <f>(J256+J337)-(J254+J335)</f>
        <v>36060.85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493655.54</v>
      </c>
      <c r="H648" s="104">
        <f>H597</f>
        <v>493655.54000000004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248286.26</v>
      </c>
      <c r="H650" s="104">
        <f>J597</f>
        <v>248286.26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37702.58</v>
      </c>
      <c r="H651" s="104">
        <f>K262+K344</f>
        <v>37702.58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6503649.96</v>
      </c>
      <c r="G659" s="19">
        <f>(L228+L308+L358)</f>
        <v>0</v>
      </c>
      <c r="H659" s="19">
        <f>(L246+L327+L359)</f>
        <v>3380424.4400000004</v>
      </c>
      <c r="I659" s="19">
        <f>SUM(F659:H659)</f>
        <v>9884074.4000000004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90242.96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90242.96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493655.54</v>
      </c>
      <c r="G661" s="19">
        <f>(L225+L305)-(J225+J305)</f>
        <v>0</v>
      </c>
      <c r="H661" s="19">
        <f>(L243+L324)-(J243+J324)</f>
        <v>248286.26</v>
      </c>
      <c r="I661" s="19">
        <f>SUM(F661:H661)</f>
        <v>741941.8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185224.14</v>
      </c>
      <c r="G662" s="199">
        <f>SUM(G574:G586)+SUM(I601:I603)+L611</f>
        <v>0</v>
      </c>
      <c r="H662" s="199">
        <f>SUM(H574:H586)+SUM(J601:J603)+L612</f>
        <v>2948906.5000000005</v>
      </c>
      <c r="I662" s="19">
        <f>SUM(F662:H662)</f>
        <v>3134130.6400000006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5734527.3200000003</v>
      </c>
      <c r="G663" s="19">
        <f>G659-SUM(G660:G662)</f>
        <v>0</v>
      </c>
      <c r="H663" s="19">
        <f>H659-SUM(H660:H662)</f>
        <v>183231.6799999997</v>
      </c>
      <c r="I663" s="19">
        <f>I659-SUM(I660:I662)</f>
        <v>5917759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472.97</v>
      </c>
      <c r="G664" s="248"/>
      <c r="H664" s="248"/>
      <c r="I664" s="19">
        <f>SUM(F664:H664)</f>
        <v>472.97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12124.51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12511.91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-183231.68</v>
      </c>
      <c r="I668" s="19">
        <f>SUM(F668:H668)</f>
        <v>-183231.68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12124.51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12124.51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Nottingham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1813624.7</v>
      </c>
      <c r="C9" s="229">
        <f>'DOE25'!G196+'DOE25'!G214+'DOE25'!G232+'DOE25'!G275+'DOE25'!G294+'DOE25'!G313</f>
        <v>803666.33</v>
      </c>
    </row>
    <row r="10" spans="1:3" x14ac:dyDescent="0.2">
      <c r="A10" t="s">
        <v>779</v>
      </c>
      <c r="B10" s="240">
        <v>1749517.82</v>
      </c>
      <c r="C10" s="240">
        <f>803666.33-4904.18</f>
        <v>798762.14999999991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32396.88+31710</f>
        <v>64106.880000000005</v>
      </c>
      <c r="C12" s="240">
        <v>4904.18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1813624.7000000002</v>
      </c>
      <c r="C13" s="231">
        <f>SUM(C10:C12)</f>
        <v>803666.33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702671.66</v>
      </c>
      <c r="C18" s="229">
        <f>'DOE25'!G197+'DOE25'!G215+'DOE25'!G233+'DOE25'!G276+'DOE25'!G295+'DOE25'!G314</f>
        <v>262524.98</v>
      </c>
    </row>
    <row r="19" spans="1:3" x14ac:dyDescent="0.2">
      <c r="A19" t="s">
        <v>779</v>
      </c>
      <c r="B19" s="240">
        <f>232015.85+58000</f>
        <v>290015.84999999998</v>
      </c>
      <c r="C19" s="240">
        <v>120619.88</v>
      </c>
    </row>
    <row r="20" spans="1:3" x14ac:dyDescent="0.2">
      <c r="A20" t="s">
        <v>780</v>
      </c>
      <c r="B20" s="240">
        <v>350713.04</v>
      </c>
      <c r="C20" s="240">
        <v>131830.24</v>
      </c>
    </row>
    <row r="21" spans="1:3" x14ac:dyDescent="0.2">
      <c r="A21" t="s">
        <v>781</v>
      </c>
      <c r="B21" s="240">
        <f>16417+26580+18945.77</f>
        <v>61942.770000000004</v>
      </c>
      <c r="C21" s="240">
        <v>10074.86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702671.65999999992</v>
      </c>
      <c r="C22" s="231">
        <f>SUM(C19:C21)</f>
        <v>262524.98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27600</v>
      </c>
      <c r="C36" s="235">
        <f>'DOE25'!G199+'DOE25'!G217+'DOE25'!G235+'DOE25'!G278+'DOE25'!G297+'DOE25'!G316</f>
        <v>3213.16</v>
      </c>
    </row>
    <row r="37" spans="1:3" x14ac:dyDescent="0.2">
      <c r="A37" t="s">
        <v>779</v>
      </c>
      <c r="B37" s="240">
        <f>1000+1000+2000+1750+3000+1000</f>
        <v>9750</v>
      </c>
      <c r="C37" s="240">
        <v>1847.63</v>
      </c>
    </row>
    <row r="38" spans="1:3" x14ac:dyDescent="0.2">
      <c r="A38" t="s">
        <v>780</v>
      </c>
      <c r="B38" s="240">
        <f>2000+3000+4000</f>
        <v>9000</v>
      </c>
      <c r="C38" s="240">
        <v>688.5</v>
      </c>
    </row>
    <row r="39" spans="1:3" x14ac:dyDescent="0.2">
      <c r="A39" t="s">
        <v>781</v>
      </c>
      <c r="B39" s="240">
        <f>1600+1250+2000+1000+1000+1000+1000</f>
        <v>8850</v>
      </c>
      <c r="C39" s="240">
        <v>677.03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27600</v>
      </c>
      <c r="C40" s="231">
        <f>SUM(C37:C39)</f>
        <v>3213.16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Nottingham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6970703.6400000006</v>
      </c>
      <c r="D5" s="20">
        <f>SUM('DOE25'!L196:L199)+SUM('DOE25'!L214:L217)+SUM('DOE25'!L232:L235)-F5-G5</f>
        <v>6968723.6900000004</v>
      </c>
      <c r="E5" s="243"/>
      <c r="F5" s="255">
        <f>SUM('DOE25'!J196:J199)+SUM('DOE25'!J214:J217)+SUM('DOE25'!J232:J235)</f>
        <v>819.95</v>
      </c>
      <c r="G5" s="53">
        <f>SUM('DOE25'!K196:K199)+SUM('DOE25'!K214:K217)+SUM('DOE25'!K232:K235)</f>
        <v>1160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488307.87</v>
      </c>
      <c r="D6" s="20">
        <f>'DOE25'!L201+'DOE25'!L219+'DOE25'!L237-F6-G6</f>
        <v>488307.87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266715.37</v>
      </c>
      <c r="D7" s="20">
        <f>'DOE25'!L202+'DOE25'!L220+'DOE25'!L238-F7-G7</f>
        <v>245286.87</v>
      </c>
      <c r="E7" s="243"/>
      <c r="F7" s="255">
        <f>'DOE25'!J202+'DOE25'!J220+'DOE25'!J238</f>
        <v>21428.5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307603.76</v>
      </c>
      <c r="D8" s="243"/>
      <c r="E8" s="20">
        <f>'DOE25'!L203+'DOE25'!L221+'DOE25'!L239-F8-G8-D9-D11</f>
        <v>307603.76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47156.78</v>
      </c>
      <c r="D9" s="244">
        <v>47156.78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77536.59</v>
      </c>
      <c r="D11" s="244">
        <v>77536.59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355196.13</v>
      </c>
      <c r="D12" s="20">
        <f>'DOE25'!L204+'DOE25'!L222+'DOE25'!L240-F12-G12</f>
        <v>353756.13</v>
      </c>
      <c r="E12" s="243"/>
      <c r="F12" s="255">
        <f>'DOE25'!J204+'DOE25'!J222+'DOE25'!J240</f>
        <v>0</v>
      </c>
      <c r="G12" s="53">
        <f>'DOE25'!K204+'DOE25'!K222+'DOE25'!K240</f>
        <v>1440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62923.65</v>
      </c>
      <c r="D13" s="243"/>
      <c r="E13" s="20">
        <f>'DOE25'!L205+'DOE25'!L223+'DOE25'!L241-F13-G13</f>
        <v>62923.65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385586.71</v>
      </c>
      <c r="D14" s="20">
        <f>'DOE25'!L206+'DOE25'!L224+'DOE25'!L242-F14-G14</f>
        <v>371774.31</v>
      </c>
      <c r="E14" s="243"/>
      <c r="F14" s="255">
        <f>'DOE25'!J206+'DOE25'!J224+'DOE25'!J242</f>
        <v>13812.4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741941.8</v>
      </c>
      <c r="D15" s="20">
        <f>'DOE25'!L207+'DOE25'!L225+'DOE25'!L243-F15-G15</f>
        <v>741941.8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21600</v>
      </c>
      <c r="D22" s="243"/>
      <c r="E22" s="243"/>
      <c r="F22" s="255">
        <f>'DOE25'!L254+'DOE25'!L335</f>
        <v>21600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112292.79999999997</v>
      </c>
      <c r="D29" s="20">
        <f>'DOE25'!L357+'DOE25'!L358+'DOE25'!L359-'DOE25'!I366-F29-G29</f>
        <v>112292.79999999997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9406776.8400000017</v>
      </c>
      <c r="E33" s="246">
        <f>SUM(E5:E31)</f>
        <v>379527.41000000003</v>
      </c>
      <c r="F33" s="246">
        <f>SUM(F5:F31)</f>
        <v>57660.85</v>
      </c>
      <c r="G33" s="246">
        <f>SUM(G5:G31)</f>
        <v>2600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379527.41000000003</v>
      </c>
      <c r="E35" s="249"/>
    </row>
    <row r="36" spans="2:8" ht="12" thickTop="1" x14ac:dyDescent="0.2">
      <c r="B36" t="s">
        <v>815</v>
      </c>
      <c r="D36" s="20">
        <f>D33</f>
        <v>9406776.8400000017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496838.29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86616.320000000007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4323.67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10127.629999999999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44584.35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2145.8000000000002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545746.30999999994</v>
      </c>
      <c r="D18" s="41">
        <f>SUM(D8:D17)</f>
        <v>12273.43</v>
      </c>
      <c r="E18" s="41">
        <f>SUM(E8:E17)</f>
        <v>0</v>
      </c>
      <c r="F18" s="41">
        <f>SUM(F8:F17)</f>
        <v>0</v>
      </c>
      <c r="G18" s="41">
        <f>SUM(G8:G17)</f>
        <v>86616.320000000007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4323.67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244136.49</v>
      </c>
      <c r="D23" s="95">
        <f>'DOE25'!G24</f>
        <v>3155.09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119370.34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105.87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363506.82999999996</v>
      </c>
      <c r="D31" s="41">
        <f>SUM(D21:D30)</f>
        <v>7584.63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2145.8000000000002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2543</v>
      </c>
      <c r="E46" s="95">
        <f>'DOE25'!H47</f>
        <v>0</v>
      </c>
      <c r="F46" s="95">
        <f>'DOE25'!I47</f>
        <v>0</v>
      </c>
      <c r="G46" s="95">
        <f>'DOE25'!J47</f>
        <v>86616.320000000007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152239.48000000001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182239.48</v>
      </c>
      <c r="D49" s="41">
        <f>SUM(D34:D48)</f>
        <v>4688.8</v>
      </c>
      <c r="E49" s="41">
        <f>SUM(E34:E48)</f>
        <v>0</v>
      </c>
      <c r="F49" s="41">
        <f>SUM(F34:F48)</f>
        <v>0</v>
      </c>
      <c r="G49" s="41">
        <f>SUM(G34:G48)</f>
        <v>86616.320000000007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545746.30999999994</v>
      </c>
      <c r="D50" s="41">
        <f>D49+D31</f>
        <v>12273.43</v>
      </c>
      <c r="E50" s="41">
        <f>E49+E31</f>
        <v>0</v>
      </c>
      <c r="F50" s="41">
        <f>F49+F31</f>
        <v>0</v>
      </c>
      <c r="G50" s="41">
        <f>G49+G31</f>
        <v>86616.320000000007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6578630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181690.38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122.9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1966.32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90242.96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1648.97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183462.25</v>
      </c>
      <c r="D61" s="130">
        <f>SUM(D56:D60)</f>
        <v>90242.96</v>
      </c>
      <c r="E61" s="130">
        <f>SUM(E56:E60)</f>
        <v>0</v>
      </c>
      <c r="F61" s="130">
        <f>SUM(F56:F60)</f>
        <v>0</v>
      </c>
      <c r="G61" s="130">
        <f>SUM(G56:G60)</f>
        <v>1966.32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6762092.25</v>
      </c>
      <c r="D62" s="22">
        <f>D55+D61</f>
        <v>90242.96</v>
      </c>
      <c r="E62" s="22">
        <f>E55+E61</f>
        <v>0</v>
      </c>
      <c r="F62" s="22">
        <f>F55+F61</f>
        <v>0</v>
      </c>
      <c r="G62" s="22">
        <f>G55+G61</f>
        <v>1966.32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1167725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1311705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2479430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61759.25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2597.7800000000002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61759.25</v>
      </c>
      <c r="D77" s="130">
        <f>SUM(D71:D76)</f>
        <v>2597.7800000000002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2541189.25</v>
      </c>
      <c r="D80" s="130">
        <f>SUM(D78:D79)+D77+D69</f>
        <v>2597.7800000000002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57696.13</v>
      </c>
      <c r="D87" s="95">
        <f>SUM('DOE25'!G152:G160)</f>
        <v>54547.58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57696.13</v>
      </c>
      <c r="D90" s="131">
        <f>SUM(D84:D89)</f>
        <v>54547.58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37702.58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37702.58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9360977.6300000008</v>
      </c>
      <c r="D103" s="86">
        <f>D62+D80+D90+D102</f>
        <v>185090.90000000002</v>
      </c>
      <c r="E103" s="86">
        <f>E62+E80+E90+E102</f>
        <v>0</v>
      </c>
      <c r="F103" s="86">
        <f>F62+F80+F90+F102</f>
        <v>0</v>
      </c>
      <c r="G103" s="86">
        <f>G62+G80+G102</f>
        <v>1966.32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5326449.6300000008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1608028.63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36225.380000000005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6970703.6400000006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488307.87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266715.37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432297.12999999995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355196.13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62923.65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385586.71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741941.8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180402.09999999998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2732968.66</v>
      </c>
      <c r="D127" s="86">
        <f>SUM(D117:D126)</f>
        <v>180402.09999999998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21600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37702.58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1966.32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-1966.32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59302.58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9762974.8800000008</v>
      </c>
      <c r="D144" s="86">
        <f>(D114+D127+D143)</f>
        <v>180402.09999999998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Nottingham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12125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12125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5326450</v>
      </c>
      <c r="D10" s="182">
        <f>ROUND((C10/$C$28)*100,1)</f>
        <v>54.4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1608029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36225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488308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266715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432297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355196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62924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385587</v>
      </c>
      <c r="D20" s="182">
        <f t="shared" si="0"/>
        <v>3.9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741942</v>
      </c>
      <c r="D21" s="182">
        <f t="shared" si="0"/>
        <v>7.6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90159.039999999994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9793832.0399999991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21600</v>
      </c>
    </row>
    <row r="30" spans="1:4" x14ac:dyDescent="0.2">
      <c r="B30" s="187" t="s">
        <v>729</v>
      </c>
      <c r="C30" s="180">
        <f>SUM(C28:C29)</f>
        <v>9815432.0399999991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6578630</v>
      </c>
      <c r="D35" s="182">
        <f t="shared" ref="D35:D40" si="1">ROUND((C35/$C$41)*100,1)</f>
        <v>69.8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185428.5700000003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2479430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64357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112244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9420089.5700000003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Nottingham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301">
        <v>2</v>
      </c>
      <c r="B4" s="302">
        <v>5</v>
      </c>
      <c r="C4" s="284" t="s">
        <v>910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301"/>
      <c r="B5" s="302"/>
      <c r="C5" s="284" t="s">
        <v>911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301"/>
      <c r="B6" s="302"/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301"/>
      <c r="B7" s="302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8:M8"/>
    <mergeCell ref="C13:M13"/>
    <mergeCell ref="C9:M9"/>
    <mergeCell ref="C10:M10"/>
    <mergeCell ref="C11:M11"/>
    <mergeCell ref="C12:M12"/>
    <mergeCell ref="C4:M4"/>
    <mergeCell ref="C5:M5"/>
    <mergeCell ref="C6:M6"/>
    <mergeCell ref="C7:M7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2013-10-29T16:17:47Z</cp:lastPrinted>
  <dcterms:created xsi:type="dcterms:W3CDTF">1997-12-04T19:04:30Z</dcterms:created>
  <dcterms:modified xsi:type="dcterms:W3CDTF">2013-10-29T16:27:31Z</dcterms:modified>
</cp:coreProperties>
</file>