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-15" yWindow="4950" windowWidth="23070" windowHeight="4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0" i="1" l="1"/>
  <c r="I590" i="1"/>
  <c r="H590" i="1"/>
  <c r="F49" i="1"/>
  <c r="J494" i="1" l="1"/>
  <c r="I494" i="1"/>
  <c r="H109" i="1" l="1"/>
  <c r="H158" i="1"/>
  <c r="G455" i="1"/>
  <c r="F109" i="1" l="1"/>
  <c r="F29" i="1"/>
  <c r="F22" i="1"/>
  <c r="F12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C119" i="2" s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D12" i="13" s="1"/>
  <c r="C12" i="13" s="1"/>
  <c r="L204" i="1"/>
  <c r="L222" i="1"/>
  <c r="C120" i="2" s="1"/>
  <c r="L240" i="1"/>
  <c r="F14" i="13"/>
  <c r="G14" i="13"/>
  <c r="L206" i="1"/>
  <c r="L224" i="1"/>
  <c r="L242" i="1"/>
  <c r="F15" i="13"/>
  <c r="G15" i="13"/>
  <c r="L207" i="1"/>
  <c r="F661" i="1" s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C57" i="2" s="1"/>
  <c r="F110" i="1"/>
  <c r="G110" i="1"/>
  <c r="G111" i="1" s="1"/>
  <c r="H78" i="1"/>
  <c r="E56" i="2" s="1"/>
  <c r="H93" i="1"/>
  <c r="H110" i="1"/>
  <c r="I110" i="1"/>
  <c r="I111" i="1" s="1"/>
  <c r="I192" i="1" s="1"/>
  <c r="G629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I146" i="1"/>
  <c r="I161" i="1"/>
  <c r="C18" i="10"/>
  <c r="L249" i="1"/>
  <c r="C23" i="10" s="1"/>
  <c r="L331" i="1"/>
  <c r="L253" i="1"/>
  <c r="C25" i="10"/>
  <c r="L267" i="1"/>
  <c r="L268" i="1"/>
  <c r="L348" i="1"/>
  <c r="E141" i="2" s="1"/>
  <c r="E143" i="2" s="1"/>
  <c r="L349" i="1"/>
  <c r="I664" i="1"/>
  <c r="I669" i="1"/>
  <c r="F660" i="1"/>
  <c r="G660" i="1"/>
  <c r="H660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/>
  <c r="L522" i="1"/>
  <c r="F550" i="1" s="1"/>
  <c r="L525" i="1"/>
  <c r="G548" i="1" s="1"/>
  <c r="L526" i="1"/>
  <c r="G549" i="1" s="1"/>
  <c r="L527" i="1"/>
  <c r="G550" i="1"/>
  <c r="L530" i="1"/>
  <c r="H548" i="1" s="1"/>
  <c r="L531" i="1"/>
  <c r="H549" i="1" s="1"/>
  <c r="L532" i="1"/>
  <c r="H550" i="1" s="1"/>
  <c r="L535" i="1"/>
  <c r="I548" i="1"/>
  <c r="L536" i="1"/>
  <c r="I549" i="1" s="1"/>
  <c r="I551" i="1" s="1"/>
  <c r="L537" i="1"/>
  <c r="I550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D31" i="2" s="1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E80" i="2" s="1"/>
  <c r="F68" i="2"/>
  <c r="F69" i="2" s="1"/>
  <c r="F80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E84" i="2"/>
  <c r="F84" i="2"/>
  <c r="C86" i="2"/>
  <c r="E86" i="2"/>
  <c r="F86" i="2"/>
  <c r="C87" i="2"/>
  <c r="D87" i="2"/>
  <c r="F87" i="2"/>
  <c r="C88" i="2"/>
  <c r="D88" i="2"/>
  <c r="E88" i="2"/>
  <c r="F88" i="2"/>
  <c r="C89" i="2"/>
  <c r="C92" i="2"/>
  <c r="F92" i="2"/>
  <c r="C93" i="2"/>
  <c r="F93" i="2"/>
  <c r="D95" i="2"/>
  <c r="E95" i="2"/>
  <c r="E102" i="2" s="1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C112" i="2"/>
  <c r="E112" i="2"/>
  <c r="C113" i="2"/>
  <c r="E113" i="2"/>
  <c r="D114" i="2"/>
  <c r="F114" i="2"/>
  <c r="G114" i="2"/>
  <c r="E117" i="2"/>
  <c r="C118" i="2"/>
  <c r="E119" i="2"/>
  <c r="E120" i="2"/>
  <c r="C121" i="2"/>
  <c r="E121" i="2"/>
  <c r="C122" i="2"/>
  <c r="E122" i="2"/>
  <c r="E123" i="2"/>
  <c r="E124" i="2"/>
  <c r="D126" i="2"/>
  <c r="D127" i="2"/>
  <c r="F127" i="2"/>
  <c r="G127" i="2"/>
  <c r="C129" i="2"/>
  <c r="E129" i="2"/>
  <c r="F129" i="2"/>
  <c r="F143" i="2" s="1"/>
  <c r="F144" i="2" s="1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 s="1"/>
  <c r="H499" i="1"/>
  <c r="D160" i="2"/>
  <c r="I499" i="1"/>
  <c r="E160" i="2" s="1"/>
  <c r="J499" i="1"/>
  <c r="F160" i="2" s="1"/>
  <c r="B161" i="2"/>
  <c r="C161" i="2"/>
  <c r="D161" i="2"/>
  <c r="E161" i="2"/>
  <c r="G161" i="2" s="1"/>
  <c r="F161" i="2"/>
  <c r="B162" i="2"/>
  <c r="C162" i="2"/>
  <c r="D162" i="2"/>
  <c r="E162" i="2"/>
  <c r="F162" i="2"/>
  <c r="F502" i="1"/>
  <c r="B163" i="2"/>
  <c r="G502" i="1"/>
  <c r="C163" i="2" s="1"/>
  <c r="H502" i="1"/>
  <c r="D163" i="2"/>
  <c r="I502" i="1"/>
  <c r="E163" i="2" s="1"/>
  <c r="J502" i="1"/>
  <c r="F163" i="2" s="1"/>
  <c r="F19" i="1"/>
  <c r="G19" i="1"/>
  <c r="H19" i="1"/>
  <c r="I19" i="1"/>
  <c r="G619" i="1" s="1"/>
  <c r="F32" i="1"/>
  <c r="G32" i="1"/>
  <c r="H32" i="1"/>
  <c r="I32" i="1"/>
  <c r="F50" i="1"/>
  <c r="G50" i="1"/>
  <c r="G51" i="1" s="1"/>
  <c r="H617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/>
  <c r="H336" i="1"/>
  <c r="I336" i="1"/>
  <c r="J336" i="1"/>
  <c r="J337" i="1"/>
  <c r="J351" i="1" s="1"/>
  <c r="K336" i="1"/>
  <c r="K337" i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8" i="1" s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2" i="1" s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H469" i="1"/>
  <c r="I469" i="1"/>
  <c r="J469" i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4" i="1" s="1"/>
  <c r="G647" i="1" s="1"/>
  <c r="K603" i="1"/>
  <c r="H604" i="1"/>
  <c r="I604" i="1"/>
  <c r="J604" i="1"/>
  <c r="F613" i="1"/>
  <c r="G613" i="1"/>
  <c r="H613" i="1"/>
  <c r="I613" i="1"/>
  <c r="J613" i="1"/>
  <c r="K613" i="1"/>
  <c r="G616" i="1"/>
  <c r="G617" i="1"/>
  <c r="G618" i="1"/>
  <c r="G621" i="1"/>
  <c r="G622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9" i="1"/>
  <c r="H639" i="1"/>
  <c r="G640" i="1"/>
  <c r="H640" i="1"/>
  <c r="G641" i="1"/>
  <c r="H641" i="1"/>
  <c r="G642" i="1"/>
  <c r="H642" i="1"/>
  <c r="G643" i="1"/>
  <c r="H643" i="1"/>
  <c r="J643" i="1" s="1"/>
  <c r="G644" i="1"/>
  <c r="H644" i="1"/>
  <c r="G648" i="1"/>
  <c r="G649" i="1"/>
  <c r="G650" i="1"/>
  <c r="G651" i="1"/>
  <c r="H651" i="1"/>
  <c r="G652" i="1"/>
  <c r="J652" i="1" s="1"/>
  <c r="H652" i="1"/>
  <c r="G653" i="1"/>
  <c r="H653" i="1"/>
  <c r="H654" i="1"/>
  <c r="F191" i="1"/>
  <c r="L255" i="1"/>
  <c r="F31" i="2"/>
  <c r="C26" i="10"/>
  <c r="L327" i="1"/>
  <c r="L350" i="1"/>
  <c r="C69" i="2"/>
  <c r="D61" i="2"/>
  <c r="D62" i="2" s="1"/>
  <c r="E49" i="2"/>
  <c r="D18" i="13"/>
  <c r="C18" i="13"/>
  <c r="D7" i="13"/>
  <c r="C7" i="13" s="1"/>
  <c r="F102" i="2"/>
  <c r="D18" i="2"/>
  <c r="E18" i="2"/>
  <c r="D17" i="13"/>
  <c r="C17" i="13"/>
  <c r="G158" i="2"/>
  <c r="F77" i="2"/>
  <c r="F61" i="2"/>
  <c r="F62" i="2" s="1"/>
  <c r="F103" i="2" s="1"/>
  <c r="C77" i="2"/>
  <c r="D49" i="2"/>
  <c r="G156" i="2"/>
  <c r="F49" i="2"/>
  <c r="F50" i="2" s="1"/>
  <c r="F18" i="2"/>
  <c r="G162" i="2"/>
  <c r="G157" i="2"/>
  <c r="G155" i="2"/>
  <c r="G102" i="2"/>
  <c r="C102" i="2"/>
  <c r="F90" i="2"/>
  <c r="E31" i="2"/>
  <c r="G61" i="2"/>
  <c r="D29" i="13"/>
  <c r="C29" i="13" s="1"/>
  <c r="D19" i="13"/>
  <c r="C19" i="13" s="1"/>
  <c r="D14" i="13"/>
  <c r="C14" i="13" s="1"/>
  <c r="E13" i="13"/>
  <c r="C13" i="13" s="1"/>
  <c r="E77" i="2"/>
  <c r="L426" i="1"/>
  <c r="J640" i="1"/>
  <c r="J570" i="1"/>
  <c r="I168" i="1"/>
  <c r="J642" i="1"/>
  <c r="H475" i="1"/>
  <c r="H623" i="1" s="1"/>
  <c r="G337" i="1"/>
  <c r="G351" i="1" s="1"/>
  <c r="F168" i="1"/>
  <c r="J139" i="1"/>
  <c r="F570" i="1"/>
  <c r="G22" i="2"/>
  <c r="C29" i="10"/>
  <c r="I660" i="1"/>
  <c r="H139" i="1"/>
  <c r="L400" i="1"/>
  <c r="C138" i="2" s="1"/>
  <c r="L392" i="1"/>
  <c r="F22" i="13"/>
  <c r="H25" i="13"/>
  <c r="C25" i="13" s="1"/>
  <c r="L559" i="1"/>
  <c r="F337" i="1"/>
  <c r="F351" i="1" s="1"/>
  <c r="G191" i="1"/>
  <c r="H191" i="1"/>
  <c r="C35" i="10"/>
  <c r="C49" i="2"/>
  <c r="J654" i="1"/>
  <c r="J644" i="1"/>
  <c r="L569" i="1"/>
  <c r="I570" i="1"/>
  <c r="I544" i="1"/>
  <c r="L564" i="1"/>
  <c r="L570" i="1" s="1"/>
  <c r="H544" i="1"/>
  <c r="C22" i="13"/>
  <c r="C24" i="10"/>
  <c r="G31" i="13"/>
  <c r="L406" i="1"/>
  <c r="C139" i="2"/>
  <c r="I191" i="1"/>
  <c r="J653" i="1"/>
  <c r="J433" i="1"/>
  <c r="F433" i="1"/>
  <c r="K433" i="1"/>
  <c r="G133" i="2" s="1"/>
  <c r="G143" i="2" s="1"/>
  <c r="G144" i="2" s="1"/>
  <c r="F31" i="13"/>
  <c r="G168" i="1"/>
  <c r="G139" i="1"/>
  <c r="F139" i="1"/>
  <c r="H433" i="1"/>
  <c r="D102" i="2"/>
  <c r="I139" i="1"/>
  <c r="A22" i="12"/>
  <c r="J651" i="1"/>
  <c r="J641" i="1"/>
  <c r="G570" i="1"/>
  <c r="I433" i="1"/>
  <c r="G433" i="1"/>
  <c r="C27" i="10"/>
  <c r="G634" i="1"/>
  <c r="J634" i="1" s="1"/>
  <c r="L613" i="1" l="1"/>
  <c r="A40" i="12"/>
  <c r="L308" i="1"/>
  <c r="A13" i="12"/>
  <c r="L543" i="1"/>
  <c r="J551" i="1"/>
  <c r="G544" i="1"/>
  <c r="F544" i="1"/>
  <c r="L533" i="1"/>
  <c r="H551" i="1"/>
  <c r="L528" i="1"/>
  <c r="L544" i="1" s="1"/>
  <c r="K544" i="1"/>
  <c r="J544" i="1"/>
  <c r="J649" i="1"/>
  <c r="J648" i="1"/>
  <c r="K597" i="1"/>
  <c r="G646" i="1" s="1"/>
  <c r="I662" i="1"/>
  <c r="K502" i="1"/>
  <c r="G159" i="2"/>
  <c r="G160" i="2"/>
  <c r="K499" i="1"/>
  <c r="D50" i="2"/>
  <c r="E50" i="2"/>
  <c r="J475" i="1"/>
  <c r="H625" i="1" s="1"/>
  <c r="G475" i="1"/>
  <c r="H622" i="1" s="1"/>
  <c r="J622" i="1" s="1"/>
  <c r="I475" i="1"/>
  <c r="H624" i="1" s="1"/>
  <c r="J624" i="1" s="1"/>
  <c r="J629" i="1"/>
  <c r="J111" i="1"/>
  <c r="J192" i="1" s="1"/>
  <c r="J623" i="1"/>
  <c r="E61" i="2"/>
  <c r="E62" i="2" s="1"/>
  <c r="H111" i="1"/>
  <c r="H51" i="1"/>
  <c r="H618" i="1" s="1"/>
  <c r="J618" i="1" s="1"/>
  <c r="D90" i="2"/>
  <c r="G192" i="1"/>
  <c r="G627" i="1" s="1"/>
  <c r="J627" i="1" s="1"/>
  <c r="J617" i="1"/>
  <c r="J639" i="1"/>
  <c r="L407" i="1"/>
  <c r="G636" i="1" s="1"/>
  <c r="J636" i="1" s="1"/>
  <c r="C137" i="2"/>
  <c r="C140" i="2"/>
  <c r="C143" i="2" s="1"/>
  <c r="J633" i="1"/>
  <c r="D144" i="2"/>
  <c r="H337" i="1"/>
  <c r="H351" i="1" s="1"/>
  <c r="E118" i="2"/>
  <c r="E127" i="2" s="1"/>
  <c r="I337" i="1"/>
  <c r="I351" i="1" s="1"/>
  <c r="C10" i="10"/>
  <c r="C12" i="10"/>
  <c r="E111" i="2"/>
  <c r="E114" i="2" s="1"/>
  <c r="L289" i="1"/>
  <c r="C17" i="10"/>
  <c r="C124" i="2"/>
  <c r="C32" i="10"/>
  <c r="E16" i="13"/>
  <c r="C16" i="13" s="1"/>
  <c r="H646" i="1"/>
  <c r="C123" i="2"/>
  <c r="D15" i="13"/>
  <c r="C15" i="13" s="1"/>
  <c r="C21" i="10"/>
  <c r="I661" i="1"/>
  <c r="C20" i="10"/>
  <c r="C19" i="10"/>
  <c r="K256" i="1"/>
  <c r="K270" i="1" s="1"/>
  <c r="G256" i="1"/>
  <c r="G270" i="1" s="1"/>
  <c r="E8" i="13"/>
  <c r="C8" i="13" s="1"/>
  <c r="C16" i="10"/>
  <c r="D6" i="13"/>
  <c r="C6" i="13" s="1"/>
  <c r="F33" i="13"/>
  <c r="J256" i="1"/>
  <c r="J270" i="1" s="1"/>
  <c r="C117" i="2"/>
  <c r="C15" i="10"/>
  <c r="L228" i="1"/>
  <c r="G659" i="1" s="1"/>
  <c r="H256" i="1"/>
  <c r="H270" i="1" s="1"/>
  <c r="C13" i="10"/>
  <c r="L210" i="1"/>
  <c r="L246" i="1"/>
  <c r="H659" i="1" s="1"/>
  <c r="H663" i="1" s="1"/>
  <c r="D5" i="13"/>
  <c r="C5" i="13" s="1"/>
  <c r="G33" i="13"/>
  <c r="I256" i="1"/>
  <c r="I270" i="1" s="1"/>
  <c r="C11" i="10"/>
  <c r="F256" i="1"/>
  <c r="F270" i="1" s="1"/>
  <c r="C114" i="2"/>
  <c r="G163" i="2"/>
  <c r="J32" i="1"/>
  <c r="G21" i="2"/>
  <c r="G31" i="2" s="1"/>
  <c r="J638" i="1"/>
  <c r="L433" i="1"/>
  <c r="G637" i="1" s="1"/>
  <c r="J637" i="1" s="1"/>
  <c r="G80" i="2"/>
  <c r="G11" i="2"/>
  <c r="G18" i="2" s="1"/>
  <c r="J19" i="1"/>
  <c r="G620" i="1" s="1"/>
  <c r="K548" i="1"/>
  <c r="F551" i="1"/>
  <c r="G36" i="2"/>
  <c r="G49" i="2" s="1"/>
  <c r="G50" i="2" s="1"/>
  <c r="J50" i="1"/>
  <c r="G551" i="1"/>
  <c r="K549" i="1"/>
  <c r="D103" i="2"/>
  <c r="K550" i="1"/>
  <c r="C18" i="2"/>
  <c r="H33" i="13"/>
  <c r="I51" i="1"/>
  <c r="H619" i="1" s="1"/>
  <c r="J619" i="1" s="1"/>
  <c r="G55" i="2"/>
  <c r="G62" i="2" s="1"/>
  <c r="J621" i="1"/>
  <c r="C90" i="2"/>
  <c r="C31" i="2"/>
  <c r="C38" i="10"/>
  <c r="C80" i="2"/>
  <c r="F111" i="1"/>
  <c r="F192" i="1" s="1"/>
  <c r="G626" i="1" s="1"/>
  <c r="J626" i="1" s="1"/>
  <c r="C56" i="2"/>
  <c r="C61" i="2" s="1"/>
  <c r="C62" i="2" s="1"/>
  <c r="F51" i="1"/>
  <c r="H616" i="1" s="1"/>
  <c r="J616" i="1" s="1"/>
  <c r="C50" i="2"/>
  <c r="J646" i="1" l="1"/>
  <c r="H645" i="1"/>
  <c r="E144" i="2"/>
  <c r="F659" i="1"/>
  <c r="F663" i="1" s="1"/>
  <c r="F666" i="1" s="1"/>
  <c r="L337" i="1"/>
  <c r="L351" i="1" s="1"/>
  <c r="G632" i="1" s="1"/>
  <c r="J632" i="1" s="1"/>
  <c r="D31" i="13"/>
  <c r="C31" i="13" s="1"/>
  <c r="C127" i="2"/>
  <c r="C144" i="2" s="1"/>
  <c r="E33" i="13"/>
  <c r="D35" i="13" s="1"/>
  <c r="H647" i="1"/>
  <c r="J647" i="1" s="1"/>
  <c r="C28" i="10"/>
  <c r="D23" i="10" s="1"/>
  <c r="L256" i="1"/>
  <c r="L270" i="1" s="1"/>
  <c r="G631" i="1" s="1"/>
  <c r="J631" i="1" s="1"/>
  <c r="G645" i="1"/>
  <c r="J645" i="1" s="1"/>
  <c r="G630" i="1"/>
  <c r="J630" i="1" s="1"/>
  <c r="G663" i="1"/>
  <c r="K551" i="1"/>
  <c r="C36" i="10"/>
  <c r="G103" i="2"/>
  <c r="H671" i="1"/>
  <c r="C6" i="10" s="1"/>
  <c r="H666" i="1"/>
  <c r="J51" i="1"/>
  <c r="H620" i="1" s="1"/>
  <c r="J620" i="1" s="1"/>
  <c r="G625" i="1"/>
  <c r="C103" i="2"/>
  <c r="I659" i="1" l="1"/>
  <c r="I663" i="1" s="1"/>
  <c r="I671" i="1" s="1"/>
  <c r="C7" i="10" s="1"/>
  <c r="F671" i="1"/>
  <c r="C4" i="10" s="1"/>
  <c r="D33" i="13"/>
  <c r="D36" i="13" s="1"/>
  <c r="D22" i="10"/>
  <c r="D19" i="10"/>
  <c r="D12" i="10"/>
  <c r="D21" i="10"/>
  <c r="D20" i="10"/>
  <c r="D24" i="10"/>
  <c r="D11" i="10"/>
  <c r="D16" i="10"/>
  <c r="D15" i="10"/>
  <c r="D26" i="10"/>
  <c r="D27" i="10"/>
  <c r="C30" i="10"/>
  <c r="D18" i="10"/>
  <c r="D10" i="10"/>
  <c r="D25" i="10"/>
  <c r="D17" i="10"/>
  <c r="D13" i="10"/>
  <c r="G666" i="1"/>
  <c r="G671" i="1"/>
  <c r="C5" i="10" s="1"/>
  <c r="J625" i="1"/>
  <c r="I666" i="1" l="1"/>
  <c r="D28" i="10"/>
  <c r="E87" i="2" l="1"/>
  <c r="E90" i="2"/>
  <c r="E103" i="2"/>
  <c r="H161" i="1"/>
  <c r="H168" i="1"/>
  <c r="H192" i="1" s="1"/>
  <c r="G628" i="1" s="1"/>
  <c r="C39" i="10"/>
  <c r="C41" i="10" s="1"/>
  <c r="H655" i="1" l="1"/>
  <c r="J628" i="1"/>
  <c r="D40" i="10"/>
  <c r="D35" i="10"/>
  <c r="D38" i="10"/>
  <c r="D36" i="10"/>
  <c r="D37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<sst xmlns="http://schemas.openxmlformats.org/spreadsheetml/2006/main" count="3952" uniqueCount="915">
  <si>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</si>
  <si>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</si>
  <si>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</si>
  <si>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</si>
  <si>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</si>
  <si>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</si>
  <si>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</si>
  <si>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</si>
  <si>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</si>
  <si>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</si>
  <si>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</si>
  <si>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</si>
  <si>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</si>
  <si>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</si>
  <si>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</si>
  <si>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</si>
  <si>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</si>
  <si>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</si>
  <si>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</si>
  <si>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</si>
  <si>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</si>
  <si>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</si>
  <si>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</si>
  <si>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</si>
  <si>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</si>
  <si>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</si>
  <si>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</si>
  <si>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</si>
  <si>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</si>
  <si>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</si>
  <si>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</si>
  <si>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</si>
  <si>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</si>
  <si>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</si>
  <si>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</si>
  <si>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</si>
  <si>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</si>
  <si>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</si>
  <si>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</si>
  <si>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</si>
  <si>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</si>
  <si>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</si>
  <si>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</si>
  <si>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</si>
  <si>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</si>
  <si>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</si>
  <si>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</si>
  <si>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</si>
  <si>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</si>
  <si>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</si>
  <si>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</si>
  <si>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</si>
  <si>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</si>
  <si>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</si>
  <si>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</si>
  <si>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</si>
  <si>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</si>
  <si>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</si>
  <si>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</si>
  <si>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</si>
  <si>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</si>
  <si>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</si>
  <si>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</si>
  <si>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</si>
  <si>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</si>
  <si>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</si>
  <si>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</si>
  <si>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</si>
  <si>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</si>
  <si>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</si>
  <si>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</si>
  <si>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</si>
  <si>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</si>
  <si>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</si>
  <si>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</si>
  <si>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</si>
  <si>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</si>
  <si>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</si>
  <si>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</si>
  <si>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</si>
  <si>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</si>
  <si>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</si>
  <si>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</si>
  <si>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</si>
  <si>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</si>
  <si>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</si>
  <si>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</si>
  <si>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</si>
  <si>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</si>
  <si>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</si>
  <si>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</si>
  <si>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</si>
  <si>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</si>
  <si>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</si>
  <si>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</si>
  <si>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</si>
  <si>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</si>
  <si>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</si>
  <si>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</si>
  <si>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</si>
  <si>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</si>
  <si>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</si>
  <si>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</si>
  <si>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</si>
  <si>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</si>
  <si>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</si>
  <si>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</si>
  <si>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</si>
  <si>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</si>
  <si>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</si>
  <si>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</si>
  <si>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</si>
  <si>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</si>
  <si>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</si>
  <si>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</si>
  <si>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</si>
  <si>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</si>
  <si>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</si>
  <si>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</si>
  <si>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</si>
  <si>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</si>
  <si>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</si>
  <si>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</si>
  <si>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</si>
  <si>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</si>
  <si>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</si>
  <si>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</si>
  <si>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</si>
  <si>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</si>
  <si>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</si>
  <si>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</si>
  <si>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</si>
  <si>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</si>
  <si>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</si>
  <si>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</si>
  <si>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</si>
  <si>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</si>
  <si>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</si>
  <si>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</si>
  <si>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</si>
  <si>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</si>
  <si>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</si>
  <si>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</si>
  <si>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</si>
  <si>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</si>
  <si>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</si>
  <si>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</si>
  <si>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</si>
  <si>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</si>
  <si>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</si>
  <si>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</si>
  <si>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</si>
  <si>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</si>
  <si>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</si>
  <si>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</si>
  <si>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</si>
  <si>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</si>
  <si>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</si>
  <si>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</si>
  <si>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</si>
  <si>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</si>
  <si>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</si>
  <si>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</si>
  <si>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</si>
  <si>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</si>
  <si>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</si>
  <si>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</si>
  <si>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</si>
  <si>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</si>
  <si>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</si>
  <si>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</si>
  <si>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</si>
  <si>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</si>
  <si>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</si>
  <si>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</si>
  <si>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</si>
  <si>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</si>
  <si>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</si>
  <si>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</si>
  <si>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</si>
  <si>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</si>
  <si>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</si>
  <si>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</si>
  <si>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</si>
  <si>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</si>
  <si>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</si>
  <si>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</si>
  <si>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</si>
  <si>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</si>
  <si>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</si>
  <si>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</si>
  <si>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</si>
  <si>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</si>
  <si>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</si>
  <si>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</si>
  <si>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</si>
  <si>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</si>
  <si>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</si>
  <si>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</si>
  <si>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</si>
  <si>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</si>
  <si>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</si>
  <si>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</si>
  <si>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</si>
  <si>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</si>
  <si>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</si>
  <si>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</si>
  <si>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</si>
  <si>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</si>
  <si>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</si>
  <si>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</si>
  <si>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</si>
  <si>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</si>
  <si>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</si>
  <si>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</si>
  <si>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</si>
  <si>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</si>
  <si>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</si>
  <si>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</si>
  <si>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</si>
  <si>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</si>
  <si>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</si>
  <si>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</si>
  <si>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</si>
  <si>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</si>
  <si>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</si>
  <si>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</si>
  <si>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</si>
  <si>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</si>
  <si>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</si>
  <si>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</si>
  <si>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</si>
  <si>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</si>
  <si>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</si>
  <si>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</si>
  <si>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</si>
  <si>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</si>
  <si>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</si>
  <si>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</si>
  <si>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</si>
  <si>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</si>
  <si>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</si>
  <si>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</si>
  <si>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</si>
  <si>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</si>
  <si>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</si>
  <si>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</si>
  <si>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</si>
  <si>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</si>
  <si>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</si>
  <si>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</si>
  <si>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</si>
  <si>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</si>
  <si>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</si>
  <si>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</si>
  <si>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</si>
  <si>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</si>
  <si>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</si>
  <si>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</si>
  <si>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</si>
  <si>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</si>
  <si>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</si>
  <si>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</si>
  <si>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</si>
  <si>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</si>
  <si>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</si>
  <si>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</si>
  <si>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</si>
  <si>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</si>
  <si>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</si>
  <si>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</si>
  <si>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</si>
  <si>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</si>
  <si>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</si>
  <si>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</si>
  <si>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</si>
  <si>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</si>
  <si>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</si>
  <si>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</si>
  <si>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</si>
  <si>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</si>
  <si>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</si>
  <si>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</si>
  <si>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</si>
  <si>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</si>
  <si>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</si>
  <si>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</si>
  <si>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</si>
  <si>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</si>
  <si>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</si>
  <si>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</si>
  <si>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</si>
  <si>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</si>
  <si>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</si>
  <si>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</si>
  <si>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</si>
  <si>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</si>
  <si>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</si>
  <si>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</si>
  <si>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</si>
  <si>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</si>
  <si>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</si>
  <si>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</si>
  <si>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</si>
  <si>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</si>
  <si>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</si>
  <si>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</si>
  <si>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</si>
  <si>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</si>
  <si>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</si>
  <si>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</si>
  <si>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</si>
  <si>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</si>
  <si>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</si>
  <si>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</si>
  <si>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</si>
  <si>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</si>
  <si>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</si>
  <si>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</si>
  <si>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</si>
  <si>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</si>
  <si>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</si>
  <si>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</si>
  <si>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</si>
  <si>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</si>
  <si>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</si>
  <si>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</si>
  <si>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</si>
  <si>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</si>
  <si>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</si>
  <si>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</si>
  <si>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</si>
  <si>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</si>
  <si>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</si>
  <si>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</si>
  <si>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</si>
  <si>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</si>
  <si>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</si>
  <si>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</si>
  <si>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</si>
  <si>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</si>
  <si>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</si>
  <si>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</si>
  <si>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</si>
  <si>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</si>
  <si>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</si>
  <si>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</si>
  <si>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</si>
  <si>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</si>
  <si>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</si>
  <si>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</si>
  <si>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</si>
  <si>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</si>
  <si>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</si>
  <si>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</si>
  <si>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</si>
  <si>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</si>
  <si>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</si>
  <si>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</si>
  <si>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</si>
  <si>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</si>
  <si>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</si>
  <si>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</si>
  <si>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</si>
  <si>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</si>
  <si>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</si>
  <si>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</si>
  <si>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</si>
  <si>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</si>
  <si>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</si>
  <si>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</si>
  <si>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</si>
  <si>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</si>
  <si>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</si>
  <si>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</si>
  <si>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</si>
  <si>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</si>
  <si>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</si>
  <si>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</si>
  <si>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</si>
  <si>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</si>
  <si>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</si>
  <si>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</si>
  <si>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</si>
  <si>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</si>
  <si>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</si>
  <si>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</si>
  <si>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</si>
  <si>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</si>
  <si>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</si>
  <si>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</si>
  <si>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</si>
  <si>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</si>
  <si>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</si>
  <si>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</si>
  <si>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</si>
  <si>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</si>
  <si>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</si>
  <si>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</si>
  <si>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</si>
  <si>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</si>
  <si>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</si>
  <si>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</si>
  <si>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</si>
  <si>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</si>
  <si>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</si>
  <si>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</si>
  <si>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</si>
  <si>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</si>
  <si>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</si>
  <si>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</si>
  <si>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</si>
  <si>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</si>
  <si>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</si>
  <si>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</si>
  <si>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</si>
  <si>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</si>
  <si>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</si>
  <si>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</si>
  <si>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</si>
  <si>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</si>
  <si>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</si>
  <si>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</si>
  <si>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</si>
  <si>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</si>
  <si>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</si>
  <si>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</si>
  <si>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</si>
  <si>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</si>
  <si>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</si>
  <si>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</si>
  <si>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</si>
  <si>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</si>
  <si>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</si>
  <si>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</si>
  <si>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</si>
  <si>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</si>
  <si>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</si>
  <si>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</si>
  <si>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</si>
  <si>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</si>
  <si>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</si>
  <si>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</si>
  <si>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</si>
  <si>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</si>
  <si>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</si>
  <si>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</si>
  <si>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</si>
  <si>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</si>
  <si>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</si>
  <si>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</si>
  <si>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</si>
  <si>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</si>
  <si>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</si>
  <si>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</si>
  <si>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</si>
  <si>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</si>
  <si>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</si>
  <si>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</si>
  <si>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</si>
  <si>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</si>
  <si>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</si>
  <si>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</si>
  <si>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</si>
  <si>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</si>
  <si>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</si>
  <si>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</si>
  <si>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</si>
  <si>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</si>
  <si>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</si>
  <si>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</si>
  <si>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</si>
  <si>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</si>
  <si>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</si>
  <si>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</si>
  <si>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</si>
  <si>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</si>
  <si>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</si>
  <si>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</si>
  <si>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</si>
  <si>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</si>
  <si>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</si>
  <si>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</si>
  <si>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</si>
  <si>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</si>
  <si>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</si>
  <si>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</si>
  <si>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</si>
  <si>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</si>
  <si>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</si>
  <si>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</si>
  <si>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</si>
  <si>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</si>
  <si>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</si>
  <si>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</si>
  <si>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</si>
  <si>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</si>
  <si>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</si>
  <si>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</si>
  <si>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</si>
  <si>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</si>
  <si>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</si>
  <si>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</si>
  <si>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</si>
  <si>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</si>
  <si>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</si>
  <si>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</si>
  <si>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</si>
  <si>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</si>
  <si>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</si>
  <si>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</si>
  <si>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</si>
  <si>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</si>
  <si>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</si>
  <si>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</si>
  <si>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</si>
  <si>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</si>
  <si>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</si>
  <si>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</si>
  <si>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</si>
  <si>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</si>
  <si>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</si>
  <si>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</si>
  <si>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</si>
  <si>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</si>
  <si>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</si>
  <si>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</si>
  <si>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</si>
  <si>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</si>
  <si>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</si>
  <si>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</si>
  <si>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</si>
  <si>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</si>
  <si>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</si>
  <si>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</si>
  <si>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</si>
  <si>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</si>
  <si>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</si>
  <si>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</si>
  <si>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</si>
  <si>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</si>
  <si>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</si>
  <si>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</si>
  <si>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</si>
  <si>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</si>
  <si>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</si>
  <si>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</si>
  <si>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</si>
  <si>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</si>
  <si>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</si>
  <si>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</si>
  <si>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</si>
  <si>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</si>
  <si>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</si>
  <si>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</si>
  <si>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</si>
  <si>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</si>
  <si>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</si>
  <si>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</si>
  <si>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</si>
  <si>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</si>
  <si>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</si>
  <si>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</si>
  <si>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</si>
  <si>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</si>
  <si>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</si>
  <si>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</si>
  <si>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</si>
  <si>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</si>
  <si>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</si>
  <si>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</si>
  <si>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</si>
  <si>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</si>
  <si>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</si>
  <si>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</si>
  <si>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</si>
  <si>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</si>
  <si>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</si>
  <si>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</si>
  <si>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</si>
  <si>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</si>
  <si>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</si>
  <si>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</si>
  <si>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</si>
  <si>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</si>
  <si>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</si>
  <si>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</si>
  <si>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</si>
  <si>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</si>
  <si>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</si>
  <si>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</si>
  <si>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</si>
  <si>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</si>
  <si>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</si>
  <si>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</si>
  <si>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</si>
  <si>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</si>
  <si>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</si>
  <si>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</si>
  <si>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</si>
  <si>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</si>
  <si>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</si>
  <si>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</si>
  <si>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</si>
  <si>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</si>
  <si>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</si>
  <si>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</si>
  <si>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</si>
  <si>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</si>
  <si>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</si>
  <si>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</si>
  <si>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</si>
  <si>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</si>
  <si>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</si>
  <si>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</si>
  <si>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</si>
  <si>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</si>
  <si>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</si>
  <si>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</si>
  <si>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</si>
  <si>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</si>
  <si>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</si>
  <si>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</si>
  <si>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</si>
  <si>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</si>
  <si>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</si>
  <si>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</si>
  <si>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</si>
  <si>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</si>
  <si>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</si>
  <si>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</si>
  <si>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</si>
  <si>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</si>
  <si>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</si>
  <si>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</si>
  <si>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</si>
  <si>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</si>
  <si>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</si>
  <si>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</si>
  <si>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</si>
  <si>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</si>
  <si>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</si>
  <si>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</si>
  <si>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</si>
  <si>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</si>
  <si>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</si>
  <si>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</si>
  <si>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</si>
  <si>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</si>
  <si>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</si>
  <si>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</si>
  <si>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</si>
  <si>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</si>
  <si>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</si>
  <si>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</si>
  <si>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</si>
  <si>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</si>
  <si>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</si>
  <si>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</si>
  <si>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</si>
  <si>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</si>
  <si>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</si>
  <si>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</si>
  <si>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</si>
  <si>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</si>
  <si>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</si>
  <si>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</si>
  <si>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</si>
  <si>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</si>
  <si>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</si>
  <si>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</si>
  <si>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</si>
  <si>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</si>
  <si>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</si>
  <si>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</si>
  <si>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</si>
  <si>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</si>
  <si>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</si>
  <si>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</si>
  <si>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</si>
  <si>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</si>
  <si>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</si>
  <si>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</si>
  <si>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</si>
  <si>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</si>
  <si>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</si>
  <si>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</si>
  <si>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</si>
  <si>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</si>
  <si>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</si>
  <si>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</si>
  <si>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</si>
  <si>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</si>
  <si>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</si>
  <si>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</si>
  <si>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</si>
  <si>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</si>
  <si>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</si>
  <si>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</si>
  <si>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</si>
  <si>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</si>
  <si>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</si>
  <si>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</si>
  <si>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</si>
  <si>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</si>
  <si>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</si>
  <si>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</si>
  <si>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</si>
  <si>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</si>
  <si>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</si>
  <si>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</si>
  <si>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</si>
  <si>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</si>
  <si>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</si>
  <si>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</si>
  <si>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</si>
  <si>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</si>
  <si>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</si>
  <si>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</si>
  <si>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</si>
  <si>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</si>
  <si>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</si>
  <si>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</si>
  <si>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</si>
  <si>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</si>
  <si>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</si>
  <si>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</si>
  <si>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</si>
  <si>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</si>
  <si>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</si>
  <si>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</si>
  <si>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</si>
  <si>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</si>
  <si>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</si>
  <si>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</si>
  <si>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</si>
  <si>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</si>
  <si>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</si>
  <si>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</si>
  <si>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</si>
  <si>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</si>
  <si>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</si>
  <si>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</si>
  <si>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</si>
  <si>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</si>
  <si>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</si>
  <si>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</si>
  <si>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</si>
  <si>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</si>
  <si>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</si>
  <si>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</si>
  <si>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</si>
  <si>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</si>
  <si>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</si>
  <si>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</si>
  <si>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</si>
  <si>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</si>
  <si>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</si>
  <si>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</si>
  <si>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</si>
  <si>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</si>
  <si>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</si>
  <si>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</si>
  <si>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</si>
  <si>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</si>
  <si>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</si>
  <si>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</si>
  <si>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</si>
  <si>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</si>
  <si>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</si>
  <si>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</si>
  <si>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</si>
  <si>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</si>
  <si>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</si>
  <si>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</si>
  <si>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</si>
  <si>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</si>
  <si>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</si>
  <si>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</si>
  <si>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</si>
  <si>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</si>
  <si>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</si>
  <si>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</si>
  <si>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</si>
  <si>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</si>
  <si>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</si>
  <si>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</si>
  <si>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</si>
  <si>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</si>
  <si>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</si>
  <si>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</si>
  <si>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</si>
  <si>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</si>
  <si>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</si>
  <si>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</si>
  <si>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</si>
  <si>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</si>
  <si>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</si>
  <si>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</si>
  <si>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</si>
  <si>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</si>
  <si>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</si>
  <si>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</si>
  <si>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</si>
  <si>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</si>
  <si>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</si>
  <si>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</si>
  <si>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</si>
  <si>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</si>
  <si>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</si>
  <si>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</si>
  <si>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</si>
  <si>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</si>
  <si>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</si>
  <si>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</si>
  <si>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</si>
  <si>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</si>
  <si>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</si>
  <si>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</si>
  <si>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</si>
  <si>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</si>
  <si>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</si>
  <si>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</si>
  <si>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</si>
  <si>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</si>
  <si>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</si>
  <si>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</si>
  <si>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</si>
  <si>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</si>
  <si>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</si>
  <si>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</si>
  <si>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</si>
  <si>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</si>
  <si>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</si>
  <si>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</si>
  <si>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</si>
  <si>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</si>
  <si>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</si>
  <si>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</si>
  <si>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</si>
  <si>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</si>
  <si>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</si>
  <si>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</si>
  <si>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</si>
  <si>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</si>
  <si>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</si>
  <si>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</si>
  <si>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</si>
  <si>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</si>
  <si>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</si>
  <si>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</si>
  <si>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</si>
  <si>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</si>
  <si>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</si>
  <si>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</si>
  <si>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</si>
  <si>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</si>
  <si>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</si>
  <si>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</si>
  <si>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</si>
  <si>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</si>
  <si>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</si>
  <si>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</si>
  <si>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</si>
  <si>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</si>
  <si>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</si>
  <si>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</si>
  <si>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</si>
  <si>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</si>
  <si>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</si>
  <si>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</si>
  <si>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</si>
  <si>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</si>
  <si>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</si>
  <si>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</si>
  <si>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</si>
  <si>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</si>
  <si>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</si>
  <si>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</si>
  <si>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</si>
  <si>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</si>
  <si>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</si>
  <si>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</si>
  <si>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</si>
  <si>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</si>
  <si>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</si>
  <si>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</si>
  <si>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</si>
  <si>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</si>
  <si>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</si>
  <si>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</si>
  <si>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</si>
  <si>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</si>
  <si>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</si>
  <si>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</si>
  <si>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</si>
  <si>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</si>
  <si>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</si>
  <si>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</si>
  <si>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</si>
  <si>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</si>
  <si>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</si>
  <si>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</si>
  <si>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</si>
  <si>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</si>
  <si>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</si>
  <si>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</si>
  <si>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</si>
  <si>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</si>
  <si>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11/01</t>
  </si>
  <si>
    <t>08/03</t>
  </si>
  <si>
    <t>11/21</t>
  </si>
  <si>
    <t>02/23</t>
  </si>
  <si>
    <t>OYSTER RIVER COOPERATIVE SCHOOL DISTRICT</t>
  </si>
  <si>
    <t>Audit adjustments posted after filing this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</si>
</sst>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423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1782112.09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1030854.42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173981.64+14750</f>
        <v>188731.64</v>
      </c>
      <c r="G12" s="18">
        <v>5115.5075999999972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195491.72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111461.49</v>
      </c>
      <c r="G14" s="18">
        <v>18874.7</v>
      </c>
      <c r="H14" s="18">
        <v>100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22400.65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2104705.87</v>
      </c>
      <c r="G19" s="41">
        <f>SUM(G9:G18)</f>
        <v>23990.207599999998</v>
      </c>
      <c r="H19" s="41">
        <f>SUM(H9:H18)</f>
        <v>195591.72</v>
      </c>
      <c r="I19" s="41">
        <f>SUM(I9:I18)</f>
        <v>0</v>
      </c>
      <c r="J19" s="41">
        <f>SUM(J9:J18)</f>
        <v>1030854.42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49823.65+90.47</f>
        <v>49914.12</v>
      </c>
      <c r="G22" s="18"/>
      <c r="H22" s="18">
        <v>129183.03</v>
      </c>
      <c r="I22" s="18"/>
      <c r="J22" s="67">
        <f>SUM(I447)</f>
        <v>14750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198485.04</v>
      </c>
      <c r="G24" s="18">
        <v>1880.91</v>
      </c>
      <c r="H24" s="18">
        <v>58776.17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126.44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758594-126.44</f>
        <v>758467.56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22148.2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1006993.16</v>
      </c>
      <c r="G32" s="41">
        <f>SUM(G22:G31)</f>
        <v>24029.11</v>
      </c>
      <c r="H32" s="41">
        <f>SUM(H22:H31)</f>
        <v>187959.2</v>
      </c>
      <c r="I32" s="41">
        <f>SUM(I22:I31)</f>
        <v>0</v>
      </c>
      <c r="J32" s="41">
        <f>SUM(J22:J31)</f>
        <v>14750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-38.9</v>
      </c>
      <c r="H43" s="18">
        <v>7632.52</v>
      </c>
      <c r="I43" s="18"/>
      <c r="J43" s="13">
        <f>SUM(I455)</f>
        <v>1016104.4199999999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-21385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1266799-147701.54+0.25</f>
        <v>1119097.71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1097712.71</v>
      </c>
      <c r="G50" s="41">
        <f>SUM(G35:G49)</f>
        <v>-38.9</v>
      </c>
      <c r="H50" s="41">
        <f>SUM(H35:H49)</f>
        <v>7632.52</v>
      </c>
      <c r="I50" s="41">
        <f>SUM(I35:I49)</f>
        <v>0</v>
      </c>
      <c r="J50" s="41">
        <f>SUM(J35:J49)</f>
        <v>1016104.4199999999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2104705.87</v>
      </c>
      <c r="G51" s="41">
        <f>G50+G32</f>
        <v>23990.21</v>
      </c>
      <c r="H51" s="41">
        <f>H50+H32</f>
        <v>195591.72</v>
      </c>
      <c r="I51" s="41">
        <f>I50+I32</f>
        <v>0</v>
      </c>
      <c r="J51" s="41">
        <f>J50+J32</f>
        <v>1030854.4199999999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25995062.009999998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25995062.009999998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30881.81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4950</v>
      </c>
      <c r="G63" s="24" t="s">
        <v>289</v>
      </c>
      <c r="H63" s="18">
        <v>21648.47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839611.67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875443.48</v>
      </c>
      <c r="G78" s="45" t="s">
        <v>289</v>
      </c>
      <c r="H78" s="41">
        <f>SUM(H62:H77)</f>
        <v>21648.47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33496.519999999997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1406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34902.519999999997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4398.13</v>
      </c>
      <c r="G95" s="18"/>
      <c r="H95" s="18"/>
      <c r="I95" s="18"/>
      <c r="J95" s="18">
        <v>343.32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428115.77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23966.75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>
        <v>3051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7654.67+93033.86</f>
        <v>100688.53</v>
      </c>
      <c r="G109" s="18"/>
      <c r="H109" s="18">
        <f>11182.86-314.11</f>
        <v>10868.75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129053.41</v>
      </c>
      <c r="G110" s="41">
        <f>SUM(G95:G109)</f>
        <v>428115.77</v>
      </c>
      <c r="H110" s="41">
        <f>SUM(H95:H109)</f>
        <v>10868.75</v>
      </c>
      <c r="I110" s="41">
        <f>SUM(I95:I109)</f>
        <v>0</v>
      </c>
      <c r="J110" s="41">
        <f>SUM(J95:J109)</f>
        <v>3394.32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27034461.419999998</v>
      </c>
      <c r="G111" s="41">
        <f>G59+G110</f>
        <v>428115.77</v>
      </c>
      <c r="H111" s="41">
        <f>H59+H78+H93+H110</f>
        <v>32517.22</v>
      </c>
      <c r="I111" s="41">
        <f>I59+I110</f>
        <v>0</v>
      </c>
      <c r="J111" s="41">
        <f>J59+J110</f>
        <v>3394.32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4914022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3600682.99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8514704.9900000002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523742.09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91483.29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3833.19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4499.4799999999996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71.98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619130.54999999993</v>
      </c>
      <c r="G135" s="41">
        <f>SUM(G122:G134)</f>
        <v>4499.4799999999996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9133835.540000001</v>
      </c>
      <c r="G139" s="41">
        <f>G120+SUM(G135:G136)</f>
        <v>4499.4799999999996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137377.79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81922.009999999995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73816.399999999994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540880.13</f>
        <v>540880.13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244731.12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1437.56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246168.68</v>
      </c>
      <c r="G161" s="41">
        <f>SUM(G149:G160)</f>
        <v>73816.399999999994</v>
      </c>
      <c r="H161" s="41">
        <f>SUM(H149:H160)</f>
        <v>760179.92999999993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246168.68</v>
      </c>
      <c r="G168" s="41">
        <f>G146+G161+SUM(G162:G167)</f>
        <v>73816.399999999994</v>
      </c>
      <c r="H168" s="41">
        <f>H146+H161+SUM(H162:H167)</f>
        <v>760179.92999999993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76152.990000000005</v>
      </c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1200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1200</v>
      </c>
      <c r="G182" s="41">
        <f>SUM(G178:G181)</f>
        <v>76152.990000000005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1200</v>
      </c>
      <c r="G191" s="41">
        <f>G182+SUM(G187:G190)</f>
        <v>76152.990000000005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36415665.640000001</v>
      </c>
      <c r="G192" s="47">
        <f>G111+G139+G168+G191</f>
        <v>582584.64</v>
      </c>
      <c r="H192" s="47">
        <f>H111+H139+H168+H191</f>
        <v>792697.14999999991</v>
      </c>
      <c r="I192" s="47">
        <f>I111+I139+I168+I191</f>
        <v>0</v>
      </c>
      <c r="J192" s="47">
        <f>J111+J139+J191</f>
        <v>3394.32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3410154.01</v>
      </c>
      <c r="G196" s="18">
        <v>1254218.8199999998</v>
      </c>
      <c r="H196" s="18">
        <v>21384.639999999999</v>
      </c>
      <c r="I196" s="18">
        <v>149033.94000000003</v>
      </c>
      <c r="J196" s="18">
        <v>55369.739999999991</v>
      </c>
      <c r="K196" s="18">
        <v>298</v>
      </c>
      <c r="L196" s="19">
        <f>SUM(F196:K196)</f>
        <v>4890459.1500000004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1303197.99</v>
      </c>
      <c r="G197" s="18">
        <v>465241.55000000005</v>
      </c>
      <c r="H197" s="18">
        <v>625516.5</v>
      </c>
      <c r="I197" s="18">
        <v>9622.2100000000009</v>
      </c>
      <c r="J197" s="18">
        <v>5874.9400000000005</v>
      </c>
      <c r="K197" s="18">
        <v>4800</v>
      </c>
      <c r="L197" s="19">
        <f>SUM(F197:K197)</f>
        <v>2414253.19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57672.27</v>
      </c>
      <c r="G199" s="18">
        <v>6604.22</v>
      </c>
      <c r="H199" s="18">
        <v>44403.55</v>
      </c>
      <c r="I199" s="18">
        <v>680.62</v>
      </c>
      <c r="J199" s="18">
        <v>0</v>
      </c>
      <c r="K199" s="18">
        <v>0</v>
      </c>
      <c r="L199" s="19">
        <f>SUM(F199:K199)</f>
        <v>109360.66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698850.86</v>
      </c>
      <c r="G201" s="18">
        <v>354867.26</v>
      </c>
      <c r="H201" s="18">
        <v>364840.25</v>
      </c>
      <c r="I201" s="18">
        <v>20753.91</v>
      </c>
      <c r="J201" s="18">
        <v>4939.9399999999996</v>
      </c>
      <c r="K201" s="18">
        <v>1933.59</v>
      </c>
      <c r="L201" s="19">
        <f t="shared" ref="L201:L207" si="0">SUM(F201:K201)</f>
        <v>1446185.81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251003.09000000003</v>
      </c>
      <c r="G202" s="18">
        <v>63267.139999999992</v>
      </c>
      <c r="H202" s="18">
        <v>33935.72</v>
      </c>
      <c r="I202" s="18">
        <v>45028.06</v>
      </c>
      <c r="J202" s="18">
        <v>13935.95</v>
      </c>
      <c r="K202" s="18"/>
      <c r="L202" s="19">
        <f t="shared" si="0"/>
        <v>407169.96000000008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204224.86</v>
      </c>
      <c r="G203" s="18">
        <v>89580.41</v>
      </c>
      <c r="H203" s="18">
        <v>49861.89</v>
      </c>
      <c r="I203" s="18">
        <v>8358.0400000000009</v>
      </c>
      <c r="J203" s="18">
        <v>890.18</v>
      </c>
      <c r="K203" s="18">
        <v>6135.33</v>
      </c>
      <c r="L203" s="19">
        <f t="shared" si="0"/>
        <v>359050.71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360619.4</v>
      </c>
      <c r="G204" s="18">
        <v>155401.40000000002</v>
      </c>
      <c r="H204" s="18">
        <v>4924.7000000000007</v>
      </c>
      <c r="I204" s="18">
        <v>10267.41</v>
      </c>
      <c r="J204" s="18"/>
      <c r="K204" s="18">
        <v>1613</v>
      </c>
      <c r="L204" s="19">
        <f t="shared" si="0"/>
        <v>532825.91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96433.87</v>
      </c>
      <c r="G205" s="18">
        <v>38635.72</v>
      </c>
      <c r="H205" s="18">
        <v>54967.44</v>
      </c>
      <c r="I205" s="18">
        <v>2238.63</v>
      </c>
      <c r="J205" s="18">
        <v>590.55999999999995</v>
      </c>
      <c r="K205" s="18">
        <v>847.69</v>
      </c>
      <c r="L205" s="19">
        <f t="shared" si="0"/>
        <v>193713.91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266367.66000000003</v>
      </c>
      <c r="G206" s="18">
        <v>150481.49000000005</v>
      </c>
      <c r="H206" s="18">
        <v>304541.11000000004</v>
      </c>
      <c r="I206" s="18">
        <v>185957.52000000002</v>
      </c>
      <c r="J206" s="18">
        <v>1720.73</v>
      </c>
      <c r="K206" s="18"/>
      <c r="L206" s="19">
        <f t="shared" si="0"/>
        <v>909068.51000000013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362074.62</v>
      </c>
      <c r="G207" s="18">
        <v>244506.88</v>
      </c>
      <c r="H207" s="18">
        <v>108121.14</v>
      </c>
      <c r="I207" s="18">
        <v>104946.88</v>
      </c>
      <c r="J207" s="18">
        <v>80228.45</v>
      </c>
      <c r="K207" s="18">
        <v>1488.21</v>
      </c>
      <c r="L207" s="19">
        <f t="shared" si="0"/>
        <v>901366.17999999993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7010598.6300000008</v>
      </c>
      <c r="G210" s="41">
        <f t="shared" si="1"/>
        <v>2822804.89</v>
      </c>
      <c r="H210" s="41">
        <f t="shared" si="1"/>
        <v>1612496.9399999997</v>
      </c>
      <c r="I210" s="41">
        <f t="shared" si="1"/>
        <v>536887.22000000009</v>
      </c>
      <c r="J210" s="41">
        <f t="shared" si="1"/>
        <v>163550.49</v>
      </c>
      <c r="K210" s="41">
        <f t="shared" si="1"/>
        <v>17115.82</v>
      </c>
      <c r="L210" s="41">
        <f t="shared" si="1"/>
        <v>12163453.990000002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3460547.45</v>
      </c>
      <c r="G214" s="18">
        <v>1355889.31</v>
      </c>
      <c r="H214" s="18">
        <v>16999.7</v>
      </c>
      <c r="I214" s="18">
        <v>104194.96</v>
      </c>
      <c r="J214" s="18">
        <v>76821.47</v>
      </c>
      <c r="K214" s="18">
        <v>0</v>
      </c>
      <c r="L214" s="19">
        <f>SUM(F214:K214)</f>
        <v>5014452.8899999997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1234103.26</v>
      </c>
      <c r="G215" s="18">
        <v>435116.73</v>
      </c>
      <c r="H215" s="18">
        <v>171434.55999999997</v>
      </c>
      <c r="I215" s="18">
        <v>2767.9399999999996</v>
      </c>
      <c r="J215" s="18">
        <v>5904.5999999999995</v>
      </c>
      <c r="K215" s="18">
        <v>4123.66</v>
      </c>
      <c r="L215" s="19">
        <f>SUM(F215:K215)</f>
        <v>1853450.75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96403.930000000008</v>
      </c>
      <c r="G217" s="18">
        <v>13598.89</v>
      </c>
      <c r="H217" s="18">
        <v>11381.45</v>
      </c>
      <c r="I217" s="18">
        <v>6562.62</v>
      </c>
      <c r="J217" s="18">
        <v>0</v>
      </c>
      <c r="K217" s="18">
        <v>0</v>
      </c>
      <c r="L217" s="19">
        <f>SUM(F217:K217)</f>
        <v>127946.89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719540.64000000013</v>
      </c>
      <c r="G219" s="18">
        <v>225124.11999999997</v>
      </c>
      <c r="H219" s="18">
        <v>127567.53</v>
      </c>
      <c r="I219" s="18">
        <v>10858.189999999999</v>
      </c>
      <c r="J219" s="18">
        <v>3876.27</v>
      </c>
      <c r="K219" s="18">
        <v>1816.41</v>
      </c>
      <c r="L219" s="19">
        <f t="shared" ref="L219:L225" si="2">SUM(F219:K219)</f>
        <v>1088783.1599999999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148230.51</v>
      </c>
      <c r="G220" s="18">
        <v>73014.539999999994</v>
      </c>
      <c r="H220" s="18">
        <v>29852.870000000003</v>
      </c>
      <c r="I220" s="18">
        <v>40008.14</v>
      </c>
      <c r="J220" s="18">
        <v>5450.2199999999993</v>
      </c>
      <c r="K220" s="18"/>
      <c r="L220" s="19">
        <f t="shared" si="2"/>
        <v>296556.27999999997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238485.17</v>
      </c>
      <c r="G221" s="18">
        <v>89138.32</v>
      </c>
      <c r="H221" s="18">
        <v>49147.43</v>
      </c>
      <c r="I221" s="18">
        <v>7851.5</v>
      </c>
      <c r="J221" s="18">
        <v>836.23</v>
      </c>
      <c r="K221" s="18">
        <v>5803.49</v>
      </c>
      <c r="L221" s="19">
        <f t="shared" si="2"/>
        <v>391262.13999999996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249397.41999999998</v>
      </c>
      <c r="G222" s="18">
        <v>126216.87</v>
      </c>
      <c r="H222" s="18">
        <v>2903.12</v>
      </c>
      <c r="I222" s="18">
        <v>3327.84</v>
      </c>
      <c r="J222" s="18">
        <v>4999</v>
      </c>
      <c r="K222" s="18">
        <v>1014</v>
      </c>
      <c r="L222" s="19">
        <f t="shared" si="2"/>
        <v>387858.25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90589.39</v>
      </c>
      <c r="G223" s="18">
        <v>36294.160000000003</v>
      </c>
      <c r="H223" s="18">
        <v>51636.08</v>
      </c>
      <c r="I223" s="18">
        <v>2102.9499999999998</v>
      </c>
      <c r="J223" s="18">
        <v>554.77</v>
      </c>
      <c r="K223" s="18">
        <v>796.31</v>
      </c>
      <c r="L223" s="19">
        <f t="shared" si="2"/>
        <v>181973.66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296731.43</v>
      </c>
      <c r="G224" s="18">
        <v>161065.85</v>
      </c>
      <c r="H224" s="18">
        <v>272760.57</v>
      </c>
      <c r="I224" s="18">
        <v>162097.32</v>
      </c>
      <c r="J224" s="18">
        <v>2104.61</v>
      </c>
      <c r="K224" s="18"/>
      <c r="L224" s="19">
        <f t="shared" si="2"/>
        <v>894759.78000000014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189468.09</v>
      </c>
      <c r="G225" s="18">
        <v>122552.74</v>
      </c>
      <c r="H225" s="18">
        <v>57378.66</v>
      </c>
      <c r="I225" s="18">
        <v>52473.440000000002</v>
      </c>
      <c r="J225" s="18">
        <v>40114.22</v>
      </c>
      <c r="K225" s="18">
        <v>744.1</v>
      </c>
      <c r="L225" s="19">
        <f t="shared" si="2"/>
        <v>462731.25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6723497.2899999982</v>
      </c>
      <c r="G228" s="41">
        <f>SUM(G214:G227)</f>
        <v>2638011.5300000003</v>
      </c>
      <c r="H228" s="41">
        <f>SUM(H214:H227)</f>
        <v>791061.97000000009</v>
      </c>
      <c r="I228" s="41">
        <f>SUM(I214:I227)</f>
        <v>392244.9</v>
      </c>
      <c r="J228" s="41">
        <f>SUM(J214:J227)</f>
        <v>140661.39000000001</v>
      </c>
      <c r="K228" s="41">
        <f t="shared" si="3"/>
        <v>14297.97</v>
      </c>
      <c r="L228" s="41">
        <f t="shared" si="3"/>
        <v>10699775.049999999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3345025.7199999997</v>
      </c>
      <c r="G232" s="18">
        <v>1525389.25</v>
      </c>
      <c r="H232" s="18">
        <v>39226.729999999996</v>
      </c>
      <c r="I232" s="18">
        <v>113271.25</v>
      </c>
      <c r="J232" s="18">
        <v>41753.550000000003</v>
      </c>
      <c r="K232" s="18">
        <v>0</v>
      </c>
      <c r="L232" s="19">
        <f>SUM(F232:K232)</f>
        <v>5064666.5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1067573.99</v>
      </c>
      <c r="G233" s="18">
        <v>435616.59000000008</v>
      </c>
      <c r="H233" s="18">
        <v>487169.43</v>
      </c>
      <c r="I233" s="18">
        <v>5312.01</v>
      </c>
      <c r="J233" s="18">
        <v>5203.51</v>
      </c>
      <c r="K233" s="18">
        <v>4123.6400000000003</v>
      </c>
      <c r="L233" s="19">
        <f>SUM(F233:K233)</f>
        <v>2004999.17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36411.24</v>
      </c>
      <c r="I234" s="18"/>
      <c r="J234" s="18"/>
      <c r="K234" s="18"/>
      <c r="L234" s="19">
        <f>SUM(F234:K234)</f>
        <v>36411.24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265374.94</v>
      </c>
      <c r="G235" s="18">
        <v>57583.750000000015</v>
      </c>
      <c r="H235" s="18">
        <v>90440.260000000009</v>
      </c>
      <c r="I235" s="18">
        <v>23851.42</v>
      </c>
      <c r="J235" s="18">
        <v>1500</v>
      </c>
      <c r="K235" s="18">
        <v>12930.87</v>
      </c>
      <c r="L235" s="19">
        <f>SUM(F235:K235)</f>
        <v>451681.24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695575.62</v>
      </c>
      <c r="G237" s="18">
        <v>271846.07</v>
      </c>
      <c r="H237" s="18">
        <v>121971.57999999999</v>
      </c>
      <c r="I237" s="18">
        <v>11905.5</v>
      </c>
      <c r="J237" s="18">
        <v>4413.8399999999992</v>
      </c>
      <c r="K237" s="18">
        <v>1874.9999999999998</v>
      </c>
      <c r="L237" s="19">
        <f t="shared" ref="L237:L243" si="4">SUM(F237:K237)</f>
        <v>1107587.6100000001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138038.54999999999</v>
      </c>
      <c r="G238" s="18">
        <v>51492.039999999994</v>
      </c>
      <c r="H238" s="18">
        <v>23115.120000000003</v>
      </c>
      <c r="I238" s="18">
        <v>30679.369999999995</v>
      </c>
      <c r="J238" s="18">
        <v>6218.0300000000016</v>
      </c>
      <c r="K238" s="18"/>
      <c r="L238" s="19">
        <f t="shared" si="4"/>
        <v>249543.10999999996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226223.01999999993</v>
      </c>
      <c r="G239" s="18">
        <v>90665.370000000024</v>
      </c>
      <c r="H239" s="18">
        <v>49572.149999999987</v>
      </c>
      <c r="I239" s="18">
        <v>8104.7700000000041</v>
      </c>
      <c r="J239" s="18">
        <v>863.20000000000027</v>
      </c>
      <c r="K239" s="18">
        <v>6174.41</v>
      </c>
      <c r="L239" s="19">
        <f t="shared" si="4"/>
        <v>381602.91999999993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391265.95</v>
      </c>
      <c r="G240" s="18">
        <v>155900.04</v>
      </c>
      <c r="H240" s="18">
        <v>8311.7099999999991</v>
      </c>
      <c r="I240" s="18">
        <v>18961.62</v>
      </c>
      <c r="J240" s="18">
        <v>5000</v>
      </c>
      <c r="K240" s="18">
        <v>5887</v>
      </c>
      <c r="L240" s="19">
        <f t="shared" si="4"/>
        <v>585326.31999999995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93511.630000000019</v>
      </c>
      <c r="G241" s="18">
        <v>37464.94</v>
      </c>
      <c r="H241" s="18">
        <v>53301.770000000004</v>
      </c>
      <c r="I241" s="18">
        <v>2170.79</v>
      </c>
      <c r="J241" s="18">
        <v>572.67000000000007</v>
      </c>
      <c r="K241" s="18">
        <v>822</v>
      </c>
      <c r="L241" s="19">
        <f t="shared" si="4"/>
        <v>187843.80000000005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475016.60000000003</v>
      </c>
      <c r="G242" s="18">
        <v>205483.07</v>
      </c>
      <c r="H242" s="18">
        <v>414152.88</v>
      </c>
      <c r="I242" s="18">
        <v>312333.14</v>
      </c>
      <c r="J242" s="18">
        <v>3894.6600000000003</v>
      </c>
      <c r="K242" s="18"/>
      <c r="L242" s="19">
        <f t="shared" si="4"/>
        <v>1410880.3499999999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230650.50999999998</v>
      </c>
      <c r="G243" s="18">
        <v>131020.57000000005</v>
      </c>
      <c r="H243" s="18">
        <v>54645.049999999996</v>
      </c>
      <c r="I243" s="18">
        <v>52473.439999999973</v>
      </c>
      <c r="J243" s="18">
        <v>40114.220000000016</v>
      </c>
      <c r="K243" s="18">
        <v>744.0999999999998</v>
      </c>
      <c r="L243" s="19">
        <f t="shared" si="4"/>
        <v>509647.88999999996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6928256.5299999993</v>
      </c>
      <c r="G246" s="41">
        <f t="shared" si="5"/>
        <v>2962461.69</v>
      </c>
      <c r="H246" s="41">
        <f t="shared" si="5"/>
        <v>1378317.9200000002</v>
      </c>
      <c r="I246" s="41">
        <f t="shared" si="5"/>
        <v>579063.30999999994</v>
      </c>
      <c r="J246" s="41">
        <f t="shared" si="5"/>
        <v>109533.68000000001</v>
      </c>
      <c r="K246" s="41">
        <f t="shared" si="5"/>
        <v>32557.02</v>
      </c>
      <c r="L246" s="41">
        <f t="shared" si="5"/>
        <v>11990190.15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20662352.449999996</v>
      </c>
      <c r="G256" s="41">
        <f t="shared" si="8"/>
        <v>8423278.1099999994</v>
      </c>
      <c r="H256" s="41">
        <f t="shared" si="8"/>
        <v>3781876.83</v>
      </c>
      <c r="I256" s="41">
        <f t="shared" si="8"/>
        <v>1508195.4300000002</v>
      </c>
      <c r="J256" s="41">
        <f t="shared" si="8"/>
        <v>413745.56</v>
      </c>
      <c r="K256" s="41">
        <f t="shared" si="8"/>
        <v>63970.81</v>
      </c>
      <c r="L256" s="41">
        <f t="shared" si="8"/>
        <v>34853419.189999998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1135000</v>
      </c>
      <c r="L259" s="19">
        <f>SUM(F259:K259)</f>
        <v>1135000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498795</v>
      </c>
      <c r="L260" s="19">
        <f>SUM(F260:K260)</f>
        <v>498795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76152.990000000005</v>
      </c>
      <c r="L262" s="19">
        <f>SUM(F262:K262)</f>
        <v>76152.990000000005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1709947.99</v>
      </c>
      <c r="L269" s="41">
        <f t="shared" si="9"/>
        <v>1709947.99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20662352.449999996</v>
      </c>
      <c r="G270" s="42">
        <f t="shared" si="11"/>
        <v>8423278.1099999994</v>
      </c>
      <c r="H270" s="42">
        <f t="shared" si="11"/>
        <v>3781876.83</v>
      </c>
      <c r="I270" s="42">
        <f t="shared" si="11"/>
        <v>1508195.4300000002</v>
      </c>
      <c r="J270" s="42">
        <f t="shared" si="11"/>
        <v>413745.56</v>
      </c>
      <c r="K270" s="42">
        <f t="shared" si="11"/>
        <v>1773918.8</v>
      </c>
      <c r="L270" s="42">
        <f t="shared" si="11"/>
        <v>36563367.18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138225.29999999999</v>
      </c>
      <c r="G275" s="18">
        <v>61156.969999999987</v>
      </c>
      <c r="H275" s="18">
        <v>16115.97</v>
      </c>
      <c r="I275" s="18">
        <v>1588.98</v>
      </c>
      <c r="J275" s="18"/>
      <c r="K275" s="18">
        <v>50</v>
      </c>
      <c r="L275" s="19">
        <f>SUM(F275:K275)</f>
        <v>217137.21999999997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700</v>
      </c>
      <c r="G276" s="18">
        <v>53.55</v>
      </c>
      <c r="H276" s="18">
        <v>49090.39</v>
      </c>
      <c r="I276" s="18">
        <v>16035.23</v>
      </c>
      <c r="J276" s="18">
        <v>18509.629999999997</v>
      </c>
      <c r="K276" s="18"/>
      <c r="L276" s="19">
        <f>SUM(F276:K276)</f>
        <v>84388.799999999988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9574.0999999999985</v>
      </c>
      <c r="G278" s="18">
        <v>1353.73</v>
      </c>
      <c r="H278" s="18"/>
      <c r="I278" s="18">
        <v>1182.9100000000001</v>
      </c>
      <c r="J278" s="18"/>
      <c r="K278" s="18"/>
      <c r="L278" s="19">
        <f>SUM(F278:K278)</f>
        <v>12110.739999999998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1557.14</v>
      </c>
      <c r="I280" s="18">
        <v>667</v>
      </c>
      <c r="J280" s="18">
        <v>1202.92</v>
      </c>
      <c r="K280" s="18"/>
      <c r="L280" s="19">
        <f t="shared" ref="L280:L286" si="12">SUM(F280:K280)</f>
        <v>3427.0600000000004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1523.44</v>
      </c>
      <c r="I281" s="18"/>
      <c r="J281" s="18"/>
      <c r="K281" s="18"/>
      <c r="L281" s="19">
        <f t="shared" si="12"/>
        <v>1523.44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412.5</v>
      </c>
      <c r="L287" s="19">
        <f>SUM(F287:K287)</f>
        <v>412.5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148499.4</v>
      </c>
      <c r="G289" s="42">
        <f t="shared" si="13"/>
        <v>62564.249999999993</v>
      </c>
      <c r="H289" s="42">
        <f t="shared" si="13"/>
        <v>68286.94</v>
      </c>
      <c r="I289" s="42">
        <f t="shared" si="13"/>
        <v>19474.12</v>
      </c>
      <c r="J289" s="42">
        <f t="shared" si="13"/>
        <v>19712.549999999996</v>
      </c>
      <c r="K289" s="42">
        <f t="shared" si="13"/>
        <v>462.5</v>
      </c>
      <c r="L289" s="41">
        <f t="shared" si="13"/>
        <v>318999.75999999995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2712.5</v>
      </c>
      <c r="I294" s="18">
        <v>995.55</v>
      </c>
      <c r="J294" s="18"/>
      <c r="K294" s="18"/>
      <c r="L294" s="19">
        <f>SUM(F294:K294)</f>
        <v>3708.05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208691.89</v>
      </c>
      <c r="G295" s="18">
        <v>105259.82</v>
      </c>
      <c r="H295" s="18">
        <v>9006.39</v>
      </c>
      <c r="I295" s="18">
        <v>2816.34</v>
      </c>
      <c r="J295" s="18">
        <v>36677.19</v>
      </c>
      <c r="K295" s="18"/>
      <c r="L295" s="19">
        <f>SUM(F295:K295)</f>
        <v>362451.63000000006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8993.84</v>
      </c>
      <c r="G297" s="18">
        <v>1271.6800000000003</v>
      </c>
      <c r="H297" s="18"/>
      <c r="I297" s="18">
        <v>1111.2099999999998</v>
      </c>
      <c r="J297" s="18"/>
      <c r="K297" s="18"/>
      <c r="L297" s="19">
        <f>SUM(F297:K297)</f>
        <v>11376.73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1742.86</v>
      </c>
      <c r="I299" s="18">
        <v>370</v>
      </c>
      <c r="J299" s="18">
        <v>1130.01</v>
      </c>
      <c r="K299" s="18"/>
      <c r="L299" s="19">
        <f t="shared" ref="L299:L305" si="14">SUM(F299:K299)</f>
        <v>3242.87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1243.23</v>
      </c>
      <c r="I300" s="18"/>
      <c r="J300" s="18"/>
      <c r="K300" s="18"/>
      <c r="L300" s="19">
        <f t="shared" si="14"/>
        <v>1243.23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>
        <v>387.5</v>
      </c>
      <c r="L306" s="19">
        <f>SUM(F306:K306)</f>
        <v>387.5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217685.73</v>
      </c>
      <c r="G308" s="42">
        <f t="shared" si="15"/>
        <v>106531.5</v>
      </c>
      <c r="H308" s="42">
        <f t="shared" si="15"/>
        <v>14704.98</v>
      </c>
      <c r="I308" s="42">
        <f t="shared" si="15"/>
        <v>5293.1</v>
      </c>
      <c r="J308" s="42">
        <f t="shared" si="15"/>
        <v>37807.200000000004</v>
      </c>
      <c r="K308" s="42">
        <f t="shared" si="15"/>
        <v>387.5</v>
      </c>
      <c r="L308" s="41">
        <f t="shared" si="15"/>
        <v>382410.01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466.67</v>
      </c>
      <c r="J313" s="18"/>
      <c r="K313" s="18"/>
      <c r="L313" s="19">
        <f>SUM(F313:K313)</f>
        <v>466.67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43009.62</v>
      </c>
      <c r="G314" s="18">
        <v>3728.39</v>
      </c>
      <c r="H314" s="18">
        <v>8784.9200000000019</v>
      </c>
      <c r="I314" s="18">
        <v>2753.4</v>
      </c>
      <c r="J314" s="18">
        <v>20207.750000000004</v>
      </c>
      <c r="K314" s="18"/>
      <c r="L314" s="19">
        <f>SUM(F314:K314)</f>
        <v>78484.080000000016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2981.11</v>
      </c>
      <c r="G316" s="18">
        <v>330.79999999999995</v>
      </c>
      <c r="H316" s="18"/>
      <c r="I316" s="18"/>
      <c r="J316" s="18"/>
      <c r="K316" s="18"/>
      <c r="L316" s="19">
        <f>SUM(F316:K316)</f>
        <v>3311.91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10600</v>
      </c>
      <c r="I318" s="18"/>
      <c r="J318" s="18">
        <v>1166.47</v>
      </c>
      <c r="K318" s="18"/>
      <c r="L318" s="19">
        <f t="shared" ref="L318:L324" si="16">SUM(F318:K318)</f>
        <v>11766.47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1283.33</v>
      </c>
      <c r="I319" s="18"/>
      <c r="J319" s="18"/>
      <c r="K319" s="18"/>
      <c r="L319" s="19">
        <f t="shared" si="16"/>
        <v>1283.33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>
        <v>400</v>
      </c>
      <c r="L325" s="19">
        <f>SUM(F325:K325)</f>
        <v>400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45990.73</v>
      </c>
      <c r="G327" s="42">
        <f t="shared" si="17"/>
        <v>4059.1899999999996</v>
      </c>
      <c r="H327" s="42">
        <f t="shared" si="17"/>
        <v>20668.25</v>
      </c>
      <c r="I327" s="42">
        <f t="shared" si="17"/>
        <v>3220.07</v>
      </c>
      <c r="J327" s="42">
        <f t="shared" si="17"/>
        <v>21374.220000000005</v>
      </c>
      <c r="K327" s="42">
        <f t="shared" si="17"/>
        <v>400</v>
      </c>
      <c r="L327" s="41">
        <f t="shared" si="17"/>
        <v>95712.460000000021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412175.86</v>
      </c>
      <c r="G337" s="41">
        <f t="shared" si="20"/>
        <v>173154.94</v>
      </c>
      <c r="H337" s="41">
        <f t="shared" si="20"/>
        <v>103660.17</v>
      </c>
      <c r="I337" s="41">
        <f t="shared" si="20"/>
        <v>27987.29</v>
      </c>
      <c r="J337" s="41">
        <f t="shared" si="20"/>
        <v>78893.97</v>
      </c>
      <c r="K337" s="41">
        <f t="shared" si="20"/>
        <v>1250</v>
      </c>
      <c r="L337" s="41">
        <f t="shared" si="20"/>
        <v>797122.23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412175.86</v>
      </c>
      <c r="G351" s="41">
        <f>G337</f>
        <v>173154.94</v>
      </c>
      <c r="H351" s="41">
        <f>H337</f>
        <v>103660.17</v>
      </c>
      <c r="I351" s="41">
        <f>I337</f>
        <v>27987.29</v>
      </c>
      <c r="J351" s="41">
        <f>J337</f>
        <v>78893.97</v>
      </c>
      <c r="K351" s="47">
        <f>K337+K350</f>
        <v>1250</v>
      </c>
      <c r="L351" s="41">
        <f>L337+L350</f>
        <v>797122.23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106317.4</v>
      </c>
      <c r="G357" s="18">
        <v>17647.580000000002</v>
      </c>
      <c r="H357" s="18">
        <v>4307.24</v>
      </c>
      <c r="I357" s="18">
        <v>63196.98</v>
      </c>
      <c r="J357" s="18">
        <v>87.31</v>
      </c>
      <c r="K357" s="18">
        <v>553.81999999999994</v>
      </c>
      <c r="L357" s="13">
        <f>SUM(F357:K357)</f>
        <v>192110.33000000002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99873.919999999998</v>
      </c>
      <c r="G358" s="18">
        <v>16578.03</v>
      </c>
      <c r="H358" s="18">
        <v>5412.87</v>
      </c>
      <c r="I358" s="18">
        <v>66168.72</v>
      </c>
      <c r="J358" s="18">
        <v>82.02</v>
      </c>
      <c r="K358" s="18">
        <v>354.43</v>
      </c>
      <c r="L358" s="19">
        <f>SUM(F358:K358)</f>
        <v>188469.98999999996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103095.65000000004</v>
      </c>
      <c r="G359" s="18">
        <v>17112.809999999998</v>
      </c>
      <c r="H359" s="18">
        <v>3706.2999999999988</v>
      </c>
      <c r="I359" s="18">
        <v>77596.39</v>
      </c>
      <c r="J359" s="18">
        <v>84.67</v>
      </c>
      <c r="K359" s="18">
        <v>408.5</v>
      </c>
      <c r="L359" s="19">
        <f>SUM(F359:K359)</f>
        <v>202004.32000000004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309286.97000000003</v>
      </c>
      <c r="G361" s="47">
        <f t="shared" si="22"/>
        <v>51338.42</v>
      </c>
      <c r="H361" s="47">
        <f t="shared" si="22"/>
        <v>13426.41</v>
      </c>
      <c r="I361" s="47">
        <f t="shared" si="22"/>
        <v>206962.09000000003</v>
      </c>
      <c r="J361" s="47">
        <f t="shared" si="22"/>
        <v>254</v>
      </c>
      <c r="K361" s="47">
        <f t="shared" si="22"/>
        <v>1316.75</v>
      </c>
      <c r="L361" s="47">
        <f t="shared" si="22"/>
        <v>582584.64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57772.36</v>
      </c>
      <c r="G366" s="18">
        <v>61207.770000000004</v>
      </c>
      <c r="H366" s="18">
        <v>71996.78</v>
      </c>
      <c r="I366" s="56">
        <f>SUM(F366:H366)</f>
        <v>190976.91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5424.6200000000008</v>
      </c>
      <c r="G367" s="63">
        <v>4960.95</v>
      </c>
      <c r="H367" s="63">
        <v>5599.61</v>
      </c>
      <c r="I367" s="56">
        <f>SUM(F367:H367)</f>
        <v>15985.18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63196.98</v>
      </c>
      <c r="G368" s="47">
        <f>SUM(G366:G367)</f>
        <v>66168.72</v>
      </c>
      <c r="H368" s="47">
        <f>SUM(H366:H367)</f>
        <v>77596.39</v>
      </c>
      <c r="I368" s="47">
        <f>SUM(I366:I367)</f>
        <v>206962.09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37.58</v>
      </c>
      <c r="I388" s="18"/>
      <c r="J388" s="24" t="s">
        <v>289</v>
      </c>
      <c r="K388" s="24" t="s">
        <v>289</v>
      </c>
      <c r="L388" s="56">
        <f t="shared" si="25"/>
        <v>37.58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37.58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37.58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7.72</v>
      </c>
      <c r="I395" s="18"/>
      <c r="J395" s="24" t="s">
        <v>289</v>
      </c>
      <c r="K395" s="24" t="s">
        <v>289</v>
      </c>
      <c r="L395" s="56">
        <f t="shared" si="26"/>
        <v>7.72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125.52</v>
      </c>
      <c r="I396" s="18"/>
      <c r="J396" s="24" t="s">
        <v>289</v>
      </c>
      <c r="K396" s="24" t="s">
        <v>289</v>
      </c>
      <c r="L396" s="56">
        <f t="shared" si="26"/>
        <v>125.52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172.5</v>
      </c>
      <c r="I399" s="18">
        <v>3051</v>
      </c>
      <c r="J399" s="24" t="s">
        <v>289</v>
      </c>
      <c r="K399" s="24" t="s">
        <v>289</v>
      </c>
      <c r="L399" s="56">
        <f t="shared" si="26"/>
        <v>3223.5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305.74</v>
      </c>
      <c r="I400" s="47">
        <f>SUM(I394:I399)</f>
        <v>3051</v>
      </c>
      <c r="J400" s="45" t="s">
        <v>289</v>
      </c>
      <c r="K400" s="45" t="s">
        <v>289</v>
      </c>
      <c r="L400" s="47">
        <f>SUM(L394:L399)</f>
        <v>3356.74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343.32</v>
      </c>
      <c r="I407" s="47">
        <f>I392+I400+I406</f>
        <v>3051</v>
      </c>
      <c r="J407" s="24" t="s">
        <v>289</v>
      </c>
      <c r="K407" s="24" t="s">
        <v>289</v>
      </c>
      <c r="L407" s="47">
        <f>L392+L400+L406</f>
        <v>3394.3199999999997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33246.78</v>
      </c>
      <c r="I425" s="18"/>
      <c r="J425" s="18"/>
      <c r="K425" s="18"/>
      <c r="L425" s="56">
        <f t="shared" si="29"/>
        <v>33246.78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33246.78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33246.78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33246.78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33246.78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111019.45</v>
      </c>
      <c r="G439" s="18">
        <v>919834.97000000009</v>
      </c>
      <c r="H439" s="18"/>
      <c r="I439" s="56">
        <f t="shared" si="33"/>
        <v>1030854.42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111019.45</v>
      </c>
      <c r="G445" s="13">
        <f>SUM(G438:G444)</f>
        <v>919834.97000000009</v>
      </c>
      <c r="H445" s="13">
        <f>SUM(H438:H444)</f>
        <v>0</v>
      </c>
      <c r="I445" s="13">
        <f>SUM(I438:I444)</f>
        <v>1030854.42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14750</v>
      </c>
      <c r="H447" s="18"/>
      <c r="I447" s="56">
        <f>SUM(F447:H447)</f>
        <v>14750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14750</v>
      </c>
      <c r="H451" s="72">
        <f>SUM(H447:H450)</f>
        <v>0</v>
      </c>
      <c r="I451" s="72">
        <f>SUM(I447:I450)</f>
        <v>14750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111019.45</v>
      </c>
      <c r="G455" s="18">
        <f>919834.97-14750</f>
        <v>905084.97</v>
      </c>
      <c r="H455" s="18"/>
      <c r="I455" s="56">
        <f t="shared" si="34"/>
        <v>1016104.4199999999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111019.45</v>
      </c>
      <c r="G459" s="83">
        <f>SUM(G453:G458)</f>
        <v>905084.97</v>
      </c>
      <c r="H459" s="83">
        <f>SUM(H453:H458)</f>
        <v>0</v>
      </c>
      <c r="I459" s="83">
        <f>SUM(I453:I458)</f>
        <v>1016104.4199999999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111019.45</v>
      </c>
      <c r="G460" s="42">
        <f>G451+G459</f>
        <v>919834.97</v>
      </c>
      <c r="H460" s="42">
        <f>H451+H459</f>
        <v>0</v>
      </c>
      <c r="I460" s="42">
        <f>I451+I459</f>
        <v>1030854.4199999999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1232574.3999999999</v>
      </c>
      <c r="G464" s="18">
        <v>0</v>
      </c>
      <c r="H464" s="18">
        <v>-150265.24</v>
      </c>
      <c r="I464" s="18">
        <v>0</v>
      </c>
      <c r="J464" s="18">
        <v>1178006.83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36415665.640000001</v>
      </c>
      <c r="G467" s="18">
        <v>582584.64</v>
      </c>
      <c r="H467" s="18">
        <v>792697.14999999991</v>
      </c>
      <c r="I467" s="18">
        <v>0</v>
      </c>
      <c r="J467" s="18">
        <v>3394.32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12839.85</v>
      </c>
      <c r="G468" s="18"/>
      <c r="H468" s="18">
        <v>162322.84</v>
      </c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36428505.490000002</v>
      </c>
      <c r="G469" s="53">
        <f>SUM(G467:G468)</f>
        <v>582584.64</v>
      </c>
      <c r="H469" s="53">
        <f>SUM(H467:H468)</f>
        <v>955019.98999999987</v>
      </c>
      <c r="I469" s="53">
        <f>SUM(I467:I468)</f>
        <v>0</v>
      </c>
      <c r="J469" s="53">
        <f>SUM(J467:J468)</f>
        <v>3394.32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36563367.18</v>
      </c>
      <c r="G471" s="18">
        <v>582584.64</v>
      </c>
      <c r="H471" s="18">
        <v>797122.23</v>
      </c>
      <c r="I471" s="18"/>
      <c r="J471" s="18">
        <v>33246.78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38.9</v>
      </c>
      <c r="H472" s="18"/>
      <c r="I472" s="18"/>
      <c r="J472" s="18">
        <v>132049.95000000001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36563367.18</v>
      </c>
      <c r="G473" s="53">
        <f>SUM(G471:G472)</f>
        <v>582623.54</v>
      </c>
      <c r="H473" s="53">
        <f>SUM(H471:H472)</f>
        <v>797122.23</v>
      </c>
      <c r="I473" s="53">
        <f>SUM(I471:I472)</f>
        <v>0</v>
      </c>
      <c r="J473" s="53">
        <f>SUM(J471:J472)</f>
        <v>165296.73000000001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1097712.7100000009</v>
      </c>
      <c r="G475" s="53">
        <f>(G464+G469)- G473</f>
        <v>-38.900000000023283</v>
      </c>
      <c r="H475" s="53">
        <f>(H464+H469)- H473</f>
        <v>7632.5199999999022</v>
      </c>
      <c r="I475" s="53">
        <f>(I464+I469)- I473</f>
        <v>0</v>
      </c>
      <c r="J475" s="53">
        <f>(J464+J469)- J473</f>
        <v>1016104.4200000002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 t="s">
        <v>914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 t="s">
        <v>914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>
        <v>20</v>
      </c>
      <c r="J489" s="154">
        <v>20</v>
      </c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 t="s">
        <v>909</v>
      </c>
      <c r="J490" s="155" t="s">
        <v>910</v>
      </c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 t="s">
        <v>911</v>
      </c>
      <c r="J491" s="155" t="s">
        <v>912</v>
      </c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>
        <v>2300000</v>
      </c>
      <c r="J492" s="18">
        <v>20406711</v>
      </c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>
        <v>4.22</v>
      </c>
      <c r="J493" s="18">
        <v>4.09</v>
      </c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204">
        <f>1265000-115000</f>
        <v>1150000</v>
      </c>
      <c r="J494" s="204">
        <f>12240000-1020000</f>
        <v>11220000</v>
      </c>
      <c r="K494" s="53">
        <f>SUM(F494:J494)</f>
        <v>12370000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>
        <v>115000</v>
      </c>
      <c r="J496" s="18">
        <v>1020000</v>
      </c>
      <c r="K496" s="53">
        <f t="shared" si="35"/>
        <v>1135000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>
        <v>1035000</v>
      </c>
      <c r="J497" s="204">
        <v>10200000</v>
      </c>
      <c r="K497" s="205">
        <f t="shared" si="35"/>
        <v>11235000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>
        <v>211600</v>
      </c>
      <c r="J498" s="18">
        <v>2249355</v>
      </c>
      <c r="K498" s="53">
        <f t="shared" si="35"/>
        <v>2460955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1246600</v>
      </c>
      <c r="J499" s="42">
        <f>SUM(J497:J498)</f>
        <v>12449355</v>
      </c>
      <c r="K499" s="42">
        <f t="shared" si="35"/>
        <v>13695955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>
        <v>115000</v>
      </c>
      <c r="J500" s="204">
        <v>1020000</v>
      </c>
      <c r="K500" s="205">
        <f t="shared" si="35"/>
        <v>1135000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>
        <v>43355</v>
      </c>
      <c r="J501" s="18">
        <v>413865</v>
      </c>
      <c r="K501" s="53">
        <f t="shared" si="35"/>
        <v>457220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158355</v>
      </c>
      <c r="J502" s="42">
        <f>SUM(J500:J501)</f>
        <v>1433865</v>
      </c>
      <c r="K502" s="42">
        <f t="shared" si="35"/>
        <v>1592220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1269059.2999999998</v>
      </c>
      <c r="G520" s="18">
        <v>450937.67</v>
      </c>
      <c r="H520" s="18">
        <v>710613.42999999993</v>
      </c>
      <c r="I520" s="18">
        <v>25221.93</v>
      </c>
      <c r="J520" s="18">
        <v>26305.57</v>
      </c>
      <c r="K520" s="18">
        <v>4800</v>
      </c>
      <c r="L520" s="88">
        <f>SUM(F520:K520)</f>
        <v>2486937.8999999994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1483567.9500000002</v>
      </c>
      <c r="G521" s="18">
        <v>545417.48</v>
      </c>
      <c r="H521" s="18">
        <v>165704.22999999998</v>
      </c>
      <c r="I521" s="18">
        <v>5402.66</v>
      </c>
      <c r="J521" s="18">
        <v>41057.009999999995</v>
      </c>
      <c r="K521" s="18">
        <v>4123.66</v>
      </c>
      <c r="L521" s="88">
        <f>SUM(F521:K521)</f>
        <v>2245272.9900000002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1133063.99</v>
      </c>
      <c r="G522" s="18">
        <v>442469.65000000008</v>
      </c>
      <c r="H522" s="18">
        <v>468448.23</v>
      </c>
      <c r="I522" s="18">
        <v>8013.67</v>
      </c>
      <c r="J522" s="18">
        <v>25015.040000000001</v>
      </c>
      <c r="K522" s="18">
        <v>4123.6400000000003</v>
      </c>
      <c r="L522" s="88">
        <f>SUM(F522:K522)</f>
        <v>2081134.22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3885691.24</v>
      </c>
      <c r="G523" s="108">
        <f t="shared" ref="G523:L523" si="36">SUM(G520:G522)</f>
        <v>1438824.8</v>
      </c>
      <c r="H523" s="108">
        <f t="shared" si="36"/>
        <v>1344765.89</v>
      </c>
      <c r="I523" s="108">
        <f t="shared" si="36"/>
        <v>38638.26</v>
      </c>
      <c r="J523" s="108">
        <f t="shared" si="36"/>
        <v>92377.62</v>
      </c>
      <c r="K523" s="108">
        <f t="shared" si="36"/>
        <v>13047.3</v>
      </c>
      <c r="L523" s="89">
        <f t="shared" si="36"/>
        <v>6813345.1099999994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312274.28999999998</v>
      </c>
      <c r="G525" s="18">
        <v>141503.16</v>
      </c>
      <c r="H525" s="18">
        <v>337401.02</v>
      </c>
      <c r="I525" s="18">
        <v>4077.4800000000005</v>
      </c>
      <c r="J525" s="18">
        <v>200</v>
      </c>
      <c r="K525" s="18">
        <v>0</v>
      </c>
      <c r="L525" s="88">
        <f>SUM(F525:K525)</f>
        <v>795455.95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187812.16999999998</v>
      </c>
      <c r="G526" s="18">
        <v>61095.429999999993</v>
      </c>
      <c r="H526" s="18">
        <v>81908.81</v>
      </c>
      <c r="I526" s="18">
        <v>392.58</v>
      </c>
      <c r="J526" s="18">
        <v>68.39</v>
      </c>
      <c r="K526" s="18">
        <v>0</v>
      </c>
      <c r="L526" s="88">
        <f>SUM(F526:K526)</f>
        <v>331277.38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139812.59</v>
      </c>
      <c r="G527" s="18">
        <v>78613.599999999991</v>
      </c>
      <c r="H527" s="18">
        <v>43814.939999999995</v>
      </c>
      <c r="I527" s="18">
        <v>643.70000000000005</v>
      </c>
      <c r="J527" s="18">
        <v>483.13</v>
      </c>
      <c r="K527" s="18">
        <v>0</v>
      </c>
      <c r="L527" s="88">
        <f>SUM(F527:K527)</f>
        <v>263367.96000000002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639899.04999999993</v>
      </c>
      <c r="G528" s="89">
        <f t="shared" ref="G528:L528" si="37">SUM(G525:G527)</f>
        <v>281212.19</v>
      </c>
      <c r="H528" s="89">
        <f t="shared" si="37"/>
        <v>463124.77</v>
      </c>
      <c r="I528" s="89">
        <f t="shared" si="37"/>
        <v>5113.76</v>
      </c>
      <c r="J528" s="89">
        <f t="shared" si="37"/>
        <v>751.52</v>
      </c>
      <c r="K528" s="89">
        <f t="shared" si="37"/>
        <v>0</v>
      </c>
      <c r="L528" s="89">
        <f t="shared" si="37"/>
        <v>1390101.29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91234.73000000001</v>
      </c>
      <c r="G530" s="18">
        <v>48180.19</v>
      </c>
      <c r="H530" s="18">
        <v>5433.06</v>
      </c>
      <c r="I530" s="18">
        <v>593.84</v>
      </c>
      <c r="J530" s="18">
        <v>0</v>
      </c>
      <c r="K530" s="18">
        <v>488.13</v>
      </c>
      <c r="L530" s="88">
        <f>SUM(F530:K530)</f>
        <v>145929.95000000001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132342.93</v>
      </c>
      <c r="G531" s="18">
        <v>50247.210000000006</v>
      </c>
      <c r="H531" s="18">
        <v>8390.5</v>
      </c>
      <c r="I531" s="18">
        <v>557.85</v>
      </c>
      <c r="J531" s="18">
        <v>0</v>
      </c>
      <c r="K531" s="18">
        <v>498.54</v>
      </c>
      <c r="L531" s="88">
        <f>SUM(F531:K531)</f>
        <v>192037.03000000003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116656.84</v>
      </c>
      <c r="G532" s="18">
        <v>50519.710000000006</v>
      </c>
      <c r="H532" s="18">
        <v>7461.77</v>
      </c>
      <c r="I532" s="18">
        <v>575.84</v>
      </c>
      <c r="J532" s="18">
        <v>0</v>
      </c>
      <c r="K532" s="18">
        <v>698.32999999999993</v>
      </c>
      <c r="L532" s="88">
        <f>SUM(F532:K532)</f>
        <v>175912.48999999996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340234.5</v>
      </c>
      <c r="G533" s="89">
        <f t="shared" ref="G533:L533" si="38">SUM(G530:G532)</f>
        <v>148947.11000000002</v>
      </c>
      <c r="H533" s="89">
        <f t="shared" si="38"/>
        <v>21285.33</v>
      </c>
      <c r="I533" s="89">
        <f t="shared" si="38"/>
        <v>1727.5300000000002</v>
      </c>
      <c r="J533" s="89">
        <f t="shared" si="38"/>
        <v>0</v>
      </c>
      <c r="K533" s="89">
        <f t="shared" si="38"/>
        <v>1685</v>
      </c>
      <c r="L533" s="89">
        <f t="shared" si="38"/>
        <v>513879.47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51311.57</v>
      </c>
      <c r="G540" s="18">
        <v>23148.59</v>
      </c>
      <c r="H540" s="18">
        <v>5864.28</v>
      </c>
      <c r="I540" s="18">
        <v>10086.84</v>
      </c>
      <c r="J540" s="18"/>
      <c r="K540" s="18"/>
      <c r="L540" s="88">
        <f>SUM(F540:K540)</f>
        <v>90411.28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32774.97</v>
      </c>
      <c r="G541" s="18">
        <v>16922.849999999999</v>
      </c>
      <c r="H541" s="18">
        <v>5508.86</v>
      </c>
      <c r="I541" s="18">
        <v>9475.51</v>
      </c>
      <c r="J541" s="18"/>
      <c r="K541" s="18"/>
      <c r="L541" s="88">
        <f>SUM(F541:K541)</f>
        <v>64682.19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42317.369999999995</v>
      </c>
      <c r="G542" s="18">
        <v>23406.800000000003</v>
      </c>
      <c r="H542" s="18">
        <v>9151.57</v>
      </c>
      <c r="I542" s="18">
        <v>9781.17</v>
      </c>
      <c r="J542" s="18"/>
      <c r="K542" s="18"/>
      <c r="L542" s="88">
        <f>SUM(F542:K542)</f>
        <v>84656.909999999989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126403.91</v>
      </c>
      <c r="G543" s="193">
        <f t="shared" ref="G543:L543" si="40">SUM(G540:G542)</f>
        <v>63478.240000000005</v>
      </c>
      <c r="H543" s="193">
        <f t="shared" si="40"/>
        <v>20524.71</v>
      </c>
      <c r="I543" s="193">
        <f t="shared" si="40"/>
        <v>29343.519999999997</v>
      </c>
      <c r="J543" s="193">
        <f t="shared" si="40"/>
        <v>0</v>
      </c>
      <c r="K543" s="193">
        <f t="shared" si="40"/>
        <v>0</v>
      </c>
      <c r="L543" s="193">
        <f t="shared" si="40"/>
        <v>239750.38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4992228.7</v>
      </c>
      <c r="G544" s="89">
        <f t="shared" ref="G544:L544" si="41">G523+G528+G533+G538+G543</f>
        <v>1932462.34</v>
      </c>
      <c r="H544" s="89">
        <f t="shared" si="41"/>
        <v>1849700.7</v>
      </c>
      <c r="I544" s="89">
        <f t="shared" si="41"/>
        <v>74823.070000000007</v>
      </c>
      <c r="J544" s="89">
        <f t="shared" si="41"/>
        <v>93129.14</v>
      </c>
      <c r="K544" s="89">
        <f t="shared" si="41"/>
        <v>14732.3</v>
      </c>
      <c r="L544" s="89">
        <f t="shared" si="41"/>
        <v>8957076.25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2486937.8999999994</v>
      </c>
      <c r="G548" s="87">
        <f>L525</f>
        <v>795455.95</v>
      </c>
      <c r="H548" s="87">
        <f>L530</f>
        <v>145929.95000000001</v>
      </c>
      <c r="I548" s="87">
        <f>L535</f>
        <v>0</v>
      </c>
      <c r="J548" s="87">
        <f>L540</f>
        <v>90411.28</v>
      </c>
      <c r="K548" s="87">
        <f>SUM(F548:J548)</f>
        <v>3518735.0799999996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2245272.9900000002</v>
      </c>
      <c r="G549" s="87">
        <f>L526</f>
        <v>331277.38</v>
      </c>
      <c r="H549" s="87">
        <f>L531</f>
        <v>192037.03000000003</v>
      </c>
      <c r="I549" s="87">
        <f>L536</f>
        <v>0</v>
      </c>
      <c r="J549" s="87">
        <f>L541</f>
        <v>64682.19</v>
      </c>
      <c r="K549" s="87">
        <f>SUM(F549:J549)</f>
        <v>2833269.5900000003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2081134.22</v>
      </c>
      <c r="G550" s="87">
        <f>L527</f>
        <v>263367.96000000002</v>
      </c>
      <c r="H550" s="87">
        <f>L532</f>
        <v>175912.48999999996</v>
      </c>
      <c r="I550" s="87">
        <f>L537</f>
        <v>0</v>
      </c>
      <c r="J550" s="87">
        <f>L542</f>
        <v>84656.909999999989</v>
      </c>
      <c r="K550" s="87">
        <f>SUM(F550:J550)</f>
        <v>2605071.58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6813345.1099999994</v>
      </c>
      <c r="G551" s="89">
        <f t="shared" si="42"/>
        <v>1390101.29</v>
      </c>
      <c r="H551" s="89">
        <f t="shared" si="42"/>
        <v>513879.47</v>
      </c>
      <c r="I551" s="89">
        <f t="shared" si="42"/>
        <v>0</v>
      </c>
      <c r="J551" s="89">
        <f t="shared" si="42"/>
        <v>239750.38</v>
      </c>
      <c r="K551" s="89">
        <f t="shared" si="42"/>
        <v>8957076.25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79591.39</v>
      </c>
      <c r="G561" s="18">
        <v>20679.129999999997</v>
      </c>
      <c r="H561" s="18"/>
      <c r="I561" s="18">
        <v>686.36</v>
      </c>
      <c r="J561" s="18"/>
      <c r="K561" s="18"/>
      <c r="L561" s="88">
        <f>SUM(F561:K561)</f>
        <v>100956.87999999999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v>21009</v>
      </c>
      <c r="I562" s="18">
        <v>87.14</v>
      </c>
      <c r="J562" s="18"/>
      <c r="K562" s="18"/>
      <c r="L562" s="88">
        <f>SUM(F562:K562)</f>
        <v>21096.14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>
        <v>31161</v>
      </c>
      <c r="I563" s="18"/>
      <c r="J563" s="18"/>
      <c r="K563" s="18"/>
      <c r="L563" s="88">
        <f>SUM(F563:K563)</f>
        <v>31161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79591.39</v>
      </c>
      <c r="G564" s="89">
        <f t="shared" si="44"/>
        <v>20679.129999999997</v>
      </c>
      <c r="H564" s="89">
        <f t="shared" si="44"/>
        <v>52170</v>
      </c>
      <c r="I564" s="89">
        <f t="shared" si="44"/>
        <v>773.5</v>
      </c>
      <c r="J564" s="89">
        <f t="shared" si="44"/>
        <v>0</v>
      </c>
      <c r="K564" s="89">
        <f t="shared" si="44"/>
        <v>0</v>
      </c>
      <c r="L564" s="89">
        <f t="shared" si="44"/>
        <v>153214.01999999999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79591.39</v>
      </c>
      <c r="G570" s="89">
        <f t="shared" ref="G570:L570" si="46">G559+G564+G569</f>
        <v>20679.129999999997</v>
      </c>
      <c r="H570" s="89">
        <f t="shared" si="46"/>
        <v>52170</v>
      </c>
      <c r="I570" s="89">
        <f t="shared" si="46"/>
        <v>773.5</v>
      </c>
      <c r="J570" s="89">
        <f t="shared" si="46"/>
        <v>0</v>
      </c>
      <c r="K570" s="89">
        <f t="shared" si="46"/>
        <v>0</v>
      </c>
      <c r="L570" s="89">
        <f t="shared" si="46"/>
        <v>153214.01999999999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457553.35000000003</v>
      </c>
      <c r="G581" s="18">
        <v>103414.59</v>
      </c>
      <c r="H581" s="18">
        <v>406121.05</v>
      </c>
      <c r="I581" s="87">
        <f t="shared" si="47"/>
        <v>967088.99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36411.24</v>
      </c>
      <c r="I583" s="87">
        <f t="shared" si="47"/>
        <v>36411.24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743816.84+0.08</f>
        <v>743816.91999999993</v>
      </c>
      <c r="I590" s="18">
        <f>379916.58-0.03</f>
        <v>379916.55</v>
      </c>
      <c r="J590" s="18">
        <f>379187.13-0.05</f>
        <v>379187.08</v>
      </c>
      <c r="K590" s="104">
        <f t="shared" ref="K590:K596" si="48">SUM(H590:J590)</f>
        <v>1502920.55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114261.12</v>
      </c>
      <c r="I591" s="18">
        <v>53552.270000000004</v>
      </c>
      <c r="J591" s="18">
        <v>71936.989999999991</v>
      </c>
      <c r="K591" s="104">
        <f t="shared" si="48"/>
        <v>239750.38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24783.739999999998</v>
      </c>
      <c r="K592" s="104">
        <f t="shared" si="48"/>
        <v>24783.739999999998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6393.44</v>
      </c>
      <c r="I593" s="18">
        <v>5671.04</v>
      </c>
      <c r="J593" s="18">
        <v>17748.78</v>
      </c>
      <c r="K593" s="104">
        <f t="shared" si="48"/>
        <v>29813.26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14176.869999999999</v>
      </c>
      <c r="I594" s="18">
        <v>12232.45</v>
      </c>
      <c r="J594" s="18">
        <v>4632.3600000000006</v>
      </c>
      <c r="K594" s="104">
        <f t="shared" si="48"/>
        <v>31041.68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22717.83</v>
      </c>
      <c r="I596" s="18">
        <v>11358.939999999999</v>
      </c>
      <c r="J596" s="18">
        <v>11358.939999999999</v>
      </c>
      <c r="K596" s="104">
        <f t="shared" si="48"/>
        <v>45435.710000000006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901366.17999999982</v>
      </c>
      <c r="I597" s="108">
        <f>SUM(I590:I596)</f>
        <v>462731.25</v>
      </c>
      <c r="J597" s="108">
        <f>SUM(J590:J596)</f>
        <v>509647.88999999996</v>
      </c>
      <c r="K597" s="108">
        <f>SUM(K590:K596)</f>
        <v>1873745.32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161045.66999999998</v>
      </c>
      <c r="I603" s="18">
        <v>189032.09999999998</v>
      </c>
      <c r="J603" s="18">
        <v>142561.76</v>
      </c>
      <c r="K603" s="104">
        <f>SUM(H603:J603)</f>
        <v>492639.52999999997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161045.66999999998</v>
      </c>
      <c r="I604" s="108">
        <f>SUM(I601:I603)</f>
        <v>189032.09999999998</v>
      </c>
      <c r="J604" s="108">
        <f>SUM(J601:J603)</f>
        <v>142561.76</v>
      </c>
      <c r="K604" s="108">
        <f>SUM(K601:K603)</f>
        <v>492639.52999999997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53382.27</v>
      </c>
      <c r="G610" s="18">
        <v>5953.75</v>
      </c>
      <c r="H610" s="18">
        <v>35603.4</v>
      </c>
      <c r="I610" s="18">
        <v>220</v>
      </c>
      <c r="J610" s="18"/>
      <c r="K610" s="18"/>
      <c r="L610" s="88">
        <f>SUM(F610:K610)</f>
        <v>95159.42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43027.49</v>
      </c>
      <c r="G611" s="18">
        <v>5422.16</v>
      </c>
      <c r="H611" s="18">
        <v>3752</v>
      </c>
      <c r="I611" s="18">
        <v>104.63</v>
      </c>
      <c r="J611" s="18"/>
      <c r="K611" s="18"/>
      <c r="L611" s="88">
        <f>SUM(F611:K611)</f>
        <v>52306.279999999992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31870.379999999997</v>
      </c>
      <c r="G612" s="18">
        <v>3977.5299999999997</v>
      </c>
      <c r="H612" s="18">
        <v>541.29999999999995</v>
      </c>
      <c r="I612" s="18">
        <v>0</v>
      </c>
      <c r="J612" s="18"/>
      <c r="K612" s="18"/>
      <c r="L612" s="88">
        <f>SUM(F612:K612)</f>
        <v>36389.21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128280.13999999998</v>
      </c>
      <c r="G613" s="108">
        <f t="shared" si="49"/>
        <v>15353.439999999999</v>
      </c>
      <c r="H613" s="108">
        <f t="shared" si="49"/>
        <v>39896.700000000004</v>
      </c>
      <c r="I613" s="108">
        <f t="shared" si="49"/>
        <v>324.63</v>
      </c>
      <c r="J613" s="108">
        <f t="shared" si="49"/>
        <v>0</v>
      </c>
      <c r="K613" s="108">
        <f t="shared" si="49"/>
        <v>0</v>
      </c>
      <c r="L613" s="89">
        <f t="shared" si="49"/>
        <v>183854.90999999997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2104705.87</v>
      </c>
      <c r="H616" s="109">
        <f>SUM(F51)</f>
        <v>2104705.87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23990.207599999998</v>
      </c>
      <c r="H617" s="109">
        <f>SUM(G51)</f>
        <v>23990.21</v>
      </c>
      <c r="I617" s="121" t="s">
        <v>891</v>
      </c>
      <c r="J617" s="109">
        <f>G617-H617</f>
        <v>-2.4000000012165401E-3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195591.72</v>
      </c>
      <c r="H618" s="109">
        <f>SUM(H51)</f>
        <v>195591.72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1030854.42</v>
      </c>
      <c r="H620" s="109">
        <f>SUM(J51)</f>
        <v>1030854.4199999999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1097712.71</v>
      </c>
      <c r="H621" s="109">
        <f>F475</f>
        <v>1097712.7100000009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-38.9</v>
      </c>
      <c r="H622" s="109">
        <f>G475</f>
        <v>-38.900000000023283</v>
      </c>
      <c r="I622" s="121" t="s">
        <v>102</v>
      </c>
      <c r="J622" s="109">
        <f t="shared" si="50"/>
        <v>2.3284485450858483E-11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7632.52</v>
      </c>
      <c r="H623" s="109">
        <f>H475</f>
        <v>7632.5199999999022</v>
      </c>
      <c r="I623" s="121" t="s">
        <v>103</v>
      </c>
      <c r="J623" s="109">
        <f t="shared" si="50"/>
        <v>9.822542779147625E-11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1016104.4199999999</v>
      </c>
      <c r="H625" s="109">
        <f>J475</f>
        <v>1016104.4200000002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36415665.640000001</v>
      </c>
      <c r="H626" s="104">
        <f>SUM(F467)</f>
        <v>36415665.640000001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582584.64</v>
      </c>
      <c r="H627" s="104">
        <f>SUM(G467)</f>
        <v>582584.64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792697.14999999991</v>
      </c>
      <c r="H628" s="104">
        <f>SUM(H467)</f>
        <v>792697.14999999991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3394.32</v>
      </c>
      <c r="H630" s="104">
        <f>SUM(J467)</f>
        <v>3394.32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36563367.18</v>
      </c>
      <c r="H631" s="104">
        <f>SUM(F471)</f>
        <v>36563367.18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797122.23</v>
      </c>
      <c r="H632" s="104">
        <f>SUM(H471)</f>
        <v>797122.23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206962.09000000003</v>
      </c>
      <c r="H633" s="104">
        <f>I368</f>
        <v>206962.09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582584.64</v>
      </c>
      <c r="H634" s="104">
        <f>SUM(G471)</f>
        <v>582584.64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3394.3199999999997</v>
      </c>
      <c r="H636" s="164">
        <f>SUM(J467)</f>
        <v>3394.32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33246.78</v>
      </c>
      <c r="H637" s="164">
        <f>SUM(J471)</f>
        <v>33246.78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111019.45</v>
      </c>
      <c r="H638" s="104">
        <f>SUM(F460)</f>
        <v>111019.45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919834.97000000009</v>
      </c>
      <c r="H639" s="104">
        <f>SUM(G460)</f>
        <v>919834.97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1030854.42</v>
      </c>
      <c r="H641" s="104">
        <f>SUM(I460)</f>
        <v>1030854.4199999999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343.32</v>
      </c>
      <c r="H643" s="104">
        <f>H407</f>
        <v>343.32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3394.32</v>
      </c>
      <c r="H645" s="104">
        <f>L407</f>
        <v>3394.3199999999997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1873745.32</v>
      </c>
      <c r="H646" s="104">
        <f>L207+L225+L243</f>
        <v>1873745.3199999998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492639.52999999997</v>
      </c>
      <c r="H647" s="104">
        <f>(J256+J337)-(J254+J335)</f>
        <v>492639.53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901366.17999999993</v>
      </c>
      <c r="H648" s="104">
        <f>H597</f>
        <v>901366.17999999982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462731.25</v>
      </c>
      <c r="H649" s="104">
        <f>I597</f>
        <v>462731.25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509647.88999999996</v>
      </c>
      <c r="H650" s="104">
        <f>J597</f>
        <v>509647.88999999996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76152.990000000005</v>
      </c>
      <c r="H651" s="104">
        <f>K262+K344</f>
        <v>76152.990000000005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-2.4000108242034912E-3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12674564.080000002</v>
      </c>
      <c r="G659" s="19">
        <f>(L228+L308+L358)</f>
        <v>11270655.049999999</v>
      </c>
      <c r="H659" s="19">
        <f>(L246+L327+L359)</f>
        <v>12287906.930000002</v>
      </c>
      <c r="I659" s="19">
        <f>SUM(F659:H659)</f>
        <v>36233126.060000002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141173.41276437379</v>
      </c>
      <c r="G660" s="19">
        <f>(L358/IF(SUM(L357:L359)=0,1,SUM(L357:L359))*(SUM(G96:G109)))</f>
        <v>138498.28737459041</v>
      </c>
      <c r="H660" s="19">
        <f>(L359/IF(SUM(L357:L359)=0,1,SUM(L357:L359))*(SUM(G96:G109)))</f>
        <v>148444.06986103585</v>
      </c>
      <c r="I660" s="19">
        <f>SUM(F660:H660)</f>
        <v>428115.77000000008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821137.73</v>
      </c>
      <c r="G661" s="19">
        <f>(L225+L305)-(J225+J305)</f>
        <v>422617.03</v>
      </c>
      <c r="H661" s="19">
        <f>(L243+L324)-(J243+J324)</f>
        <v>469533.66999999993</v>
      </c>
      <c r="I661" s="19">
        <f>SUM(F661:H661)</f>
        <v>1713288.43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713758.44000000006</v>
      </c>
      <c r="G662" s="199">
        <f>SUM(G574:G586)+SUM(I601:I603)+L611</f>
        <v>344752.96999999991</v>
      </c>
      <c r="H662" s="199">
        <f>SUM(H574:H586)+SUM(J601:J603)+L612</f>
        <v>621483.26</v>
      </c>
      <c r="I662" s="19">
        <f>SUM(F662:H662)</f>
        <v>1679994.67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10998494.497235628</v>
      </c>
      <c r="G663" s="19">
        <f>G659-SUM(G660:G662)</f>
        <v>10364786.762625409</v>
      </c>
      <c r="H663" s="19">
        <f>H659-SUM(H660:H662)</f>
        <v>11048445.930138966</v>
      </c>
      <c r="I663" s="19">
        <f>I659-SUM(I660:I662)</f>
        <v>32411727.190000001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643.96</v>
      </c>
      <c r="G664" s="248">
        <v>654.71</v>
      </c>
      <c r="H664" s="248">
        <v>667.47</v>
      </c>
      <c r="I664" s="19">
        <f>SUM(F664:H664)</f>
        <v>1966.14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17079.47</v>
      </c>
      <c r="G666" s="19">
        <f>ROUND(G663/G664,2)</f>
        <v>15831.11</v>
      </c>
      <c r="H666" s="19">
        <f>ROUND(H663/H664,2)</f>
        <v>16552.72</v>
      </c>
      <c r="I666" s="19">
        <f>ROUND(I663/I664,2)</f>
        <v>16484.95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-8.11</v>
      </c>
      <c r="I669" s="19">
        <f>SUM(F669:H669)</f>
        <v>-8.11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17079.47</v>
      </c>
      <c r="G671" s="19">
        <f>ROUND((G663+G668)/(G664+G669),2)</f>
        <v>15831.11</v>
      </c>
      <c r="H671" s="19">
        <f>ROUND((H663+H668)/(H664+H669),2)</f>
        <v>16756.32</v>
      </c>
      <c r="I671" s="19">
        <f>ROUND((I663+I668)/(I664+I669),2)</f>
        <v>16553.23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K29" sqref="K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OYSTER RIVER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10353952.48</v>
      </c>
      <c r="C9" s="229">
        <f>'DOE25'!G196+'DOE25'!G214+'DOE25'!G232+'DOE25'!G275+'DOE25'!G294+'DOE25'!G313</f>
        <v>4196654.3499999996</v>
      </c>
    </row>
    <row r="10" spans="1:3" x14ac:dyDescent="0.2">
      <c r="A10" t="s">
        <v>779</v>
      </c>
      <c r="B10" s="240">
        <v>9444346.1600000001</v>
      </c>
      <c r="C10" s="240">
        <v>3827973.57</v>
      </c>
    </row>
    <row r="11" spans="1:3" x14ac:dyDescent="0.2">
      <c r="A11" t="s">
        <v>780</v>
      </c>
      <c r="B11" s="240">
        <v>267509.89999999997</v>
      </c>
      <c r="C11" s="240">
        <v>108426.86</v>
      </c>
    </row>
    <row r="12" spans="1:3" x14ac:dyDescent="0.2">
      <c r="A12" t="s">
        <v>781</v>
      </c>
      <c r="B12" s="240">
        <v>642096.41999999993</v>
      </c>
      <c r="C12" s="240">
        <v>260253.92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10353952.48</v>
      </c>
      <c r="C13" s="231">
        <f>SUM(C10:C12)</f>
        <v>4196654.3499999996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3857276.7500000005</v>
      </c>
      <c r="C18" s="229">
        <f>'DOE25'!G197+'DOE25'!G215+'DOE25'!G233+'DOE25'!G276+'DOE25'!G295+'DOE25'!G314</f>
        <v>1445016.6300000001</v>
      </c>
    </row>
    <row r="19" spans="1:3" x14ac:dyDescent="0.2">
      <c r="A19" t="s">
        <v>779</v>
      </c>
      <c r="B19" s="240">
        <v>2184064.62</v>
      </c>
      <c r="C19" s="240">
        <v>818196.34</v>
      </c>
    </row>
    <row r="20" spans="1:3" x14ac:dyDescent="0.2">
      <c r="A20" t="s">
        <v>780</v>
      </c>
      <c r="B20" s="240">
        <v>1460119.71</v>
      </c>
      <c r="C20" s="240">
        <v>546991.41</v>
      </c>
    </row>
    <row r="21" spans="1:3" x14ac:dyDescent="0.2">
      <c r="A21" t="s">
        <v>781</v>
      </c>
      <c r="B21" s="240">
        <v>213092.42</v>
      </c>
      <c r="C21" s="240">
        <v>79828.88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3857276.75</v>
      </c>
      <c r="C22" s="231">
        <f>SUM(C19:C21)</f>
        <v>1445016.63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441000.19</v>
      </c>
      <c r="C36" s="235">
        <f>'DOE25'!G199+'DOE25'!G217+'DOE25'!G235+'DOE25'!G278+'DOE25'!G297+'DOE25'!G316</f>
        <v>80743.070000000022</v>
      </c>
    </row>
    <row r="37" spans="1:3" x14ac:dyDescent="0.2">
      <c r="A37" t="s">
        <v>779</v>
      </c>
      <c r="B37" s="240">
        <v>118800.5</v>
      </c>
      <c r="C37" s="240">
        <v>21751.279999999999</v>
      </c>
    </row>
    <row r="38" spans="1:3" x14ac:dyDescent="0.2">
      <c r="A38" t="s">
        <v>780</v>
      </c>
      <c r="B38" s="240">
        <v>45798.07</v>
      </c>
      <c r="C38" s="240">
        <v>8385.2000000000007</v>
      </c>
    </row>
    <row r="39" spans="1:3" x14ac:dyDescent="0.2">
      <c r="A39" t="s">
        <v>781</v>
      </c>
      <c r="B39" s="240">
        <v>276401.62</v>
      </c>
      <c r="C39" s="240">
        <v>50606.59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441000.19</v>
      </c>
      <c r="C40" s="231">
        <f>SUM(C37:C39)</f>
        <v>80743.069999999992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pane="bottomLeft" activeCell="M24" sqref="M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OYSTER RIVER COOPERATIVE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21967681.68</v>
      </c>
      <c r="D5" s="20">
        <f>SUM('DOE25'!L196:L199)+SUM('DOE25'!L214:L217)+SUM('DOE25'!L232:L235)-F5-G5</f>
        <v>21748977.699999999</v>
      </c>
      <c r="E5" s="243"/>
      <c r="F5" s="255">
        <f>SUM('DOE25'!J196:J199)+SUM('DOE25'!J214:J217)+SUM('DOE25'!J232:J235)</f>
        <v>192427.81</v>
      </c>
      <c r="G5" s="53">
        <f>SUM('DOE25'!K196:K199)+SUM('DOE25'!K214:K217)+SUM('DOE25'!K232:K235)</f>
        <v>26276.170000000002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3642556.58</v>
      </c>
      <c r="D6" s="20">
        <f>'DOE25'!L201+'DOE25'!L219+'DOE25'!L237-F6-G6</f>
        <v>3623701.5300000003</v>
      </c>
      <c r="E6" s="243"/>
      <c r="F6" s="255">
        <f>'DOE25'!J201+'DOE25'!J219+'DOE25'!J237</f>
        <v>13230.05</v>
      </c>
      <c r="G6" s="53">
        <f>'DOE25'!K201+'DOE25'!K219+'DOE25'!K237</f>
        <v>5625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953269.35</v>
      </c>
      <c r="D7" s="20">
        <f>'DOE25'!L202+'DOE25'!L220+'DOE25'!L238-F7-G7</f>
        <v>927665.15</v>
      </c>
      <c r="E7" s="243"/>
      <c r="F7" s="255">
        <f>'DOE25'!J202+'DOE25'!J220+'DOE25'!J238</f>
        <v>25604.2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574544.49000000011</v>
      </c>
      <c r="D8" s="243"/>
      <c r="E8" s="20">
        <f>'DOE25'!L203+'DOE25'!L221+'DOE25'!L239-F8-G8-D9-D11</f>
        <v>553841.65000000014</v>
      </c>
      <c r="F8" s="255">
        <f>'DOE25'!J203+'DOE25'!J221+'DOE25'!J239</f>
        <v>2589.61</v>
      </c>
      <c r="G8" s="53">
        <f>'DOE25'!K203+'DOE25'!K221+'DOE25'!K239</f>
        <v>18113.23</v>
      </c>
      <c r="H8" s="259"/>
    </row>
    <row r="9" spans="1:9" x14ac:dyDescent="0.2">
      <c r="A9" s="32">
        <v>2310</v>
      </c>
      <c r="B9" t="s">
        <v>818</v>
      </c>
      <c r="C9" s="245">
        <f t="shared" si="0"/>
        <v>95013.61</v>
      </c>
      <c r="D9" s="244">
        <v>95013.61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28250</v>
      </c>
      <c r="D10" s="243"/>
      <c r="E10" s="244">
        <v>28250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462357.66999999987</v>
      </c>
      <c r="D11" s="244">
        <v>462357.66999999987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1506010.48</v>
      </c>
      <c r="D12" s="20">
        <f>'DOE25'!L204+'DOE25'!L222+'DOE25'!L240-F12-G12</f>
        <v>1487497.48</v>
      </c>
      <c r="E12" s="243"/>
      <c r="F12" s="255">
        <f>'DOE25'!J204+'DOE25'!J222+'DOE25'!J240</f>
        <v>9999</v>
      </c>
      <c r="G12" s="53">
        <f>'DOE25'!K204+'DOE25'!K222+'DOE25'!K240</f>
        <v>8514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563531.37000000011</v>
      </c>
      <c r="D13" s="243"/>
      <c r="E13" s="20">
        <f>'DOE25'!L205+'DOE25'!L223+'DOE25'!L241-F13-G13</f>
        <v>559347.37000000011</v>
      </c>
      <c r="F13" s="255">
        <f>'DOE25'!J205+'DOE25'!J223+'DOE25'!J241</f>
        <v>1718</v>
      </c>
      <c r="G13" s="53">
        <f>'DOE25'!K205+'DOE25'!K223+'DOE25'!K241</f>
        <v>2466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3214708.64</v>
      </c>
      <c r="D14" s="20">
        <f>'DOE25'!L206+'DOE25'!L224+'DOE25'!L242-F14-G14</f>
        <v>3206988.64</v>
      </c>
      <c r="E14" s="243"/>
      <c r="F14" s="255">
        <f>'DOE25'!J206+'DOE25'!J224+'DOE25'!J242</f>
        <v>7720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1873745.3199999996</v>
      </c>
      <c r="D15" s="20">
        <f>'DOE25'!L207+'DOE25'!L225+'DOE25'!L243-F15-G15</f>
        <v>1710312.0199999998</v>
      </c>
      <c r="E15" s="243"/>
      <c r="F15" s="255">
        <f>'DOE25'!J207+'DOE25'!J225+'DOE25'!J243</f>
        <v>160456.89000000001</v>
      </c>
      <c r="G15" s="53">
        <f>'DOE25'!K207+'DOE25'!K225+'DOE25'!K243</f>
        <v>2976.41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1633795</v>
      </c>
      <c r="D25" s="243"/>
      <c r="E25" s="243"/>
      <c r="F25" s="258"/>
      <c r="G25" s="256"/>
      <c r="H25" s="257">
        <f>'DOE25'!L259+'DOE25'!L260+'DOE25'!L340+'DOE25'!L341</f>
        <v>1633795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391607.73</v>
      </c>
      <c r="D29" s="20">
        <f>'DOE25'!L357+'DOE25'!L358+'DOE25'!L359-'DOE25'!I366-F29-G29</f>
        <v>390036.98</v>
      </c>
      <c r="E29" s="243"/>
      <c r="F29" s="255">
        <f>'DOE25'!J357+'DOE25'!J358+'DOE25'!J359</f>
        <v>254</v>
      </c>
      <c r="G29" s="53">
        <f>'DOE25'!K357+'DOE25'!K358+'DOE25'!K359</f>
        <v>1316.75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797122.23</v>
      </c>
      <c r="D31" s="20">
        <f>'DOE25'!L289+'DOE25'!L308+'DOE25'!L327+'DOE25'!L332+'DOE25'!L333+'DOE25'!L334-F31-G31</f>
        <v>716978.26</v>
      </c>
      <c r="E31" s="243"/>
      <c r="F31" s="255">
        <f>'DOE25'!J289+'DOE25'!J308+'DOE25'!J327+'DOE25'!J332+'DOE25'!J333+'DOE25'!J334</f>
        <v>78893.97</v>
      </c>
      <c r="G31" s="53">
        <f>'DOE25'!K289+'DOE25'!K308+'DOE25'!K327+'DOE25'!K332+'DOE25'!K333+'DOE25'!K334</f>
        <v>1250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34369529.039999992</v>
      </c>
      <c r="E33" s="246">
        <f>SUM(E5:E31)</f>
        <v>1141439.0200000003</v>
      </c>
      <c r="F33" s="246">
        <f>SUM(F5:F31)</f>
        <v>492893.53</v>
      </c>
      <c r="G33" s="246">
        <f>SUM(G5:G31)</f>
        <v>66537.56</v>
      </c>
      <c r="H33" s="246">
        <f>SUM(H5:H31)</f>
        <v>1633795</v>
      </c>
    </row>
    <row r="35" spans="2:8" ht="12" thickBot="1" x14ac:dyDescent="0.25">
      <c r="B35" s="253" t="s">
        <v>847</v>
      </c>
      <c r="D35" s="254">
        <f>E33</f>
        <v>1141439.0200000003</v>
      </c>
      <c r="E35" s="249"/>
    </row>
    <row r="36" spans="2:8" ht="12" thickTop="1" x14ac:dyDescent="0.2">
      <c r="B36" t="s">
        <v>815</v>
      </c>
      <c r="D36" s="20">
        <f>D33</f>
        <v>34369529.039999992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" activePane="bottomLeft" state="frozen"/>
      <selection pane="bottomLeft" activeCell="I24" sqref="I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1782112.09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1030854.42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188731.64</v>
      </c>
      <c r="D11" s="95">
        <f>'DOE25'!G12</f>
        <v>5115.5075999999972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195491.72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111461.49</v>
      </c>
      <c r="D13" s="95">
        <f>'DOE25'!G14</f>
        <v>18874.7</v>
      </c>
      <c r="E13" s="95">
        <f>'DOE25'!H14</f>
        <v>100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22400.65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2104705.87</v>
      </c>
      <c r="D18" s="41">
        <f>SUM(D8:D17)</f>
        <v>23990.207599999998</v>
      </c>
      <c r="E18" s="41">
        <f>SUM(E8:E17)</f>
        <v>195591.72</v>
      </c>
      <c r="F18" s="41">
        <f>SUM(F8:F17)</f>
        <v>0</v>
      </c>
      <c r="G18" s="41">
        <f>SUM(G8:G17)</f>
        <v>1030854.42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49914.12</v>
      </c>
      <c r="D21" s="95">
        <f>'DOE25'!G22</f>
        <v>0</v>
      </c>
      <c r="E21" s="95">
        <f>'DOE25'!H22</f>
        <v>129183.03</v>
      </c>
      <c r="F21" s="95">
        <f>'DOE25'!I22</f>
        <v>0</v>
      </c>
      <c r="G21" s="95">
        <f>'DOE25'!J22</f>
        <v>14750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198485.04</v>
      </c>
      <c r="D23" s="95">
        <f>'DOE25'!G24</f>
        <v>1880.91</v>
      </c>
      <c r="E23" s="95">
        <f>'DOE25'!H24</f>
        <v>58776.17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126.44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758467.56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22148.2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1006993.16</v>
      </c>
      <c r="D31" s="41">
        <f>SUM(D21:D30)</f>
        <v>24029.11</v>
      </c>
      <c r="E31" s="41">
        <f>SUM(E21:E30)</f>
        <v>187959.2</v>
      </c>
      <c r="F31" s="41">
        <f>SUM(F21:F30)</f>
        <v>0</v>
      </c>
      <c r="G31" s="41">
        <f>SUM(G21:G30)</f>
        <v>14750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-38.9</v>
      </c>
      <c r="E42" s="95">
        <f>'DOE25'!H43</f>
        <v>7632.52</v>
      </c>
      <c r="F42" s="95">
        <f>'DOE25'!I43</f>
        <v>0</v>
      </c>
      <c r="G42" s="95">
        <f>'DOE25'!J43</f>
        <v>1016104.4199999999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-21385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1119097.71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1097712.71</v>
      </c>
      <c r="D49" s="41">
        <f>SUM(D34:D48)</f>
        <v>-38.9</v>
      </c>
      <c r="E49" s="41">
        <f>SUM(E34:E48)</f>
        <v>7632.52</v>
      </c>
      <c r="F49" s="41">
        <f>SUM(F34:F48)</f>
        <v>0</v>
      </c>
      <c r="G49" s="41">
        <f>SUM(G34:G48)</f>
        <v>1016104.4199999999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2104705.87</v>
      </c>
      <c r="D50" s="41">
        <f>D49+D31</f>
        <v>23990.21</v>
      </c>
      <c r="E50" s="41">
        <f>E49+E31</f>
        <v>195591.72</v>
      </c>
      <c r="F50" s="41">
        <f>F49+F31</f>
        <v>0</v>
      </c>
      <c r="G50" s="41">
        <f>G49+G31</f>
        <v>1030854.4199999999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25995062.009999998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875443.48</v>
      </c>
      <c r="D56" s="24" t="s">
        <v>289</v>
      </c>
      <c r="E56" s="95">
        <f>'DOE25'!H78</f>
        <v>21648.47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34902.519999999997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4398.13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343.32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428115.77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124655.28</v>
      </c>
      <c r="D60" s="95">
        <f>SUM('DOE25'!G97:G109)</f>
        <v>0</v>
      </c>
      <c r="E60" s="95">
        <f>SUM('DOE25'!H97:H109)</f>
        <v>10868.75</v>
      </c>
      <c r="F60" s="95">
        <f>SUM('DOE25'!I97:I109)</f>
        <v>0</v>
      </c>
      <c r="G60" s="95">
        <f>SUM('DOE25'!J97:J109)</f>
        <v>3051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1039399.41</v>
      </c>
      <c r="D61" s="130">
        <f>SUM(D56:D60)</f>
        <v>428115.77</v>
      </c>
      <c r="E61" s="130">
        <f>SUM(E56:E60)</f>
        <v>32517.22</v>
      </c>
      <c r="F61" s="130">
        <f>SUM(F56:F60)</f>
        <v>0</v>
      </c>
      <c r="G61" s="130">
        <f>SUM(G56:G60)</f>
        <v>3394.32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27034461.419999998</v>
      </c>
      <c r="D62" s="22">
        <f>D55+D61</f>
        <v>428115.77</v>
      </c>
      <c r="E62" s="22">
        <f>E55+E61</f>
        <v>32517.22</v>
      </c>
      <c r="F62" s="22">
        <f>F55+F61</f>
        <v>0</v>
      </c>
      <c r="G62" s="22">
        <f>G55+G61</f>
        <v>3394.32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4914022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3600682.99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8514704.9900000002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523742.09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91483.29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3833.19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71.98</v>
      </c>
      <c r="D76" s="95">
        <f>SUM('DOE25'!G130:G134)</f>
        <v>4499.4799999999996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619130.54999999993</v>
      </c>
      <c r="D77" s="130">
        <f>SUM(D71:D76)</f>
        <v>4499.4799999999996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9133835.540000001</v>
      </c>
      <c r="D80" s="130">
        <f>SUM(D78:D79)+D77+D69</f>
        <v>4499.4799999999996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246168.68</v>
      </c>
      <c r="D87" s="95">
        <f>SUM('DOE25'!G152:G160)</f>
        <v>73816.399999999994</v>
      </c>
      <c r="E87" s="95">
        <f>SUM('DOE25'!H152:H160)</f>
        <v>760179.92999999993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246168.68</v>
      </c>
      <c r="D90" s="131">
        <f>SUM(D84:D89)</f>
        <v>73816.399999999994</v>
      </c>
      <c r="E90" s="131">
        <f>SUM(E84:E89)</f>
        <v>760179.92999999993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76152.990000000005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1200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1200</v>
      </c>
      <c r="D102" s="86">
        <f>SUM(D92:D101)</f>
        <v>76152.990000000005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36415665.640000001</v>
      </c>
      <c r="D103" s="86">
        <f>D62+D80+D90+D102</f>
        <v>582584.64</v>
      </c>
      <c r="E103" s="86">
        <f>E62+E80+E90+E102</f>
        <v>792697.14999999991</v>
      </c>
      <c r="F103" s="86">
        <f>F62+F80+F90+F102</f>
        <v>0</v>
      </c>
      <c r="G103" s="86">
        <f>G62+G80+G102</f>
        <v>3394.32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14969578.539999999</v>
      </c>
      <c r="D108" s="24" t="s">
        <v>289</v>
      </c>
      <c r="E108" s="95">
        <f>('DOE25'!L275)+('DOE25'!L294)+('DOE25'!L313)</f>
        <v>221311.93999999997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6272703.1099999994</v>
      </c>
      <c r="D109" s="24" t="s">
        <v>289</v>
      </c>
      <c r="E109" s="95">
        <f>('DOE25'!L276)+('DOE25'!L295)+('DOE25'!L314)</f>
        <v>525324.51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36411.24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688988.79</v>
      </c>
      <c r="D111" s="24" t="s">
        <v>289</v>
      </c>
      <c r="E111" s="95">
        <f>+('DOE25'!L278)+('DOE25'!L297)+('DOE25'!L316)</f>
        <v>26799.379999999997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21967681.679999996</v>
      </c>
      <c r="D114" s="86">
        <f>SUM(D108:D113)</f>
        <v>0</v>
      </c>
      <c r="E114" s="86">
        <f>SUM(E108:E113)</f>
        <v>773435.83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3642556.58</v>
      </c>
      <c r="D117" s="24" t="s">
        <v>289</v>
      </c>
      <c r="E117" s="95">
        <f>+('DOE25'!L280)+('DOE25'!L299)+('DOE25'!L318)</f>
        <v>18436.400000000001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953269.35</v>
      </c>
      <c r="D118" s="24" t="s">
        <v>289</v>
      </c>
      <c r="E118" s="95">
        <f>+('DOE25'!L281)+('DOE25'!L300)+('DOE25'!L319)</f>
        <v>4050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1131915.77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1506010.48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563531.37000000011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3214708.64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1873745.3199999998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1200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582584.64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12885737.51</v>
      </c>
      <c r="D127" s="86">
        <f>SUM(D117:D126)</f>
        <v>582584.64</v>
      </c>
      <c r="E127" s="86">
        <f>SUM(E117:E126)</f>
        <v>23686.400000000001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1135000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498795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76152.990000000005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37.58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3356.74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-3394.3199999999997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1709947.99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36563367.18</v>
      </c>
      <c r="D144" s="86">
        <f>(D114+D127+D143)</f>
        <v>582584.64</v>
      </c>
      <c r="E144" s="86">
        <f>(E114+E127+E143)</f>
        <v>797122.23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20</v>
      </c>
      <c r="F150" s="153">
        <f>'DOE25'!J489</f>
        <v>20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 t="str">
        <f>'DOE25'!I490</f>
        <v>11/01</v>
      </c>
      <c r="F151" s="152" t="str">
        <f>'DOE25'!J490</f>
        <v>08/03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 t="str">
        <f>'DOE25'!I491</f>
        <v>11/21</v>
      </c>
      <c r="F152" s="152" t="str">
        <f>'DOE25'!J491</f>
        <v>02/23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2300000</v>
      </c>
      <c r="F153" s="137">
        <f>'DOE25'!J492</f>
        <v>20406711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4.22</v>
      </c>
      <c r="F154" s="137">
        <f>'DOE25'!J493</f>
        <v>4.09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1150000</v>
      </c>
      <c r="F155" s="137">
        <f>'DOE25'!J494</f>
        <v>11220000</v>
      </c>
      <c r="G155" s="138">
        <f>SUM(B155:F155)</f>
        <v>12370000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115000</v>
      </c>
      <c r="F157" s="137">
        <f>'DOE25'!J496</f>
        <v>1020000</v>
      </c>
      <c r="G157" s="138">
        <f t="shared" si="0"/>
        <v>1135000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1035000</v>
      </c>
      <c r="F158" s="137">
        <f>'DOE25'!J497</f>
        <v>10200000</v>
      </c>
      <c r="G158" s="138">
        <f t="shared" si="0"/>
        <v>11235000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211600</v>
      </c>
      <c r="F159" s="137">
        <f>'DOE25'!J498</f>
        <v>2249355</v>
      </c>
      <c r="G159" s="138">
        <f t="shared" si="0"/>
        <v>2460955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1246600</v>
      </c>
      <c r="F160" s="137">
        <f>'DOE25'!J499</f>
        <v>12449355</v>
      </c>
      <c r="G160" s="138">
        <f t="shared" si="0"/>
        <v>13695955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115000</v>
      </c>
      <c r="F161" s="137">
        <f>'DOE25'!J500</f>
        <v>1020000</v>
      </c>
      <c r="G161" s="138">
        <f t="shared" si="0"/>
        <v>1135000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43355</v>
      </c>
      <c r="F162" s="137">
        <f>'DOE25'!J501</f>
        <v>413865</v>
      </c>
      <c r="G162" s="138">
        <f t="shared" si="0"/>
        <v>457220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158355</v>
      </c>
      <c r="F163" s="137">
        <f>'DOE25'!J502</f>
        <v>1433865</v>
      </c>
      <c r="G163" s="138">
        <f t="shared" si="0"/>
        <v>1592220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H26" sqref="H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OYSTER RIVER COOPERATIVE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17079</v>
      </c>
    </row>
    <row r="5" spans="1:4" x14ac:dyDescent="0.2">
      <c r="B5" t="s">
        <v>704</v>
      </c>
      <c r="C5" s="179">
        <f>IF('DOE25'!G664+'DOE25'!G669=0,0,ROUND('DOE25'!G671,0))</f>
        <v>15831</v>
      </c>
    </row>
    <row r="6" spans="1:4" x14ac:dyDescent="0.2">
      <c r="B6" t="s">
        <v>62</v>
      </c>
      <c r="C6" s="179">
        <f>IF('DOE25'!H664+'DOE25'!H669=0,0,ROUND('DOE25'!H671,0))</f>
        <v>16756</v>
      </c>
    </row>
    <row r="7" spans="1:4" x14ac:dyDescent="0.2">
      <c r="B7" t="s">
        <v>705</v>
      </c>
      <c r="C7" s="179">
        <f>IF('DOE25'!I664+'DOE25'!I669=0,0,ROUND('DOE25'!I671,0))</f>
        <v>16553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15190890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6798028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36411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715788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3660993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957319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1133116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1506010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563531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3214709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1873745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498795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154469.22999999998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36303804.229999997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36303804.229999997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1135000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25995062</v>
      </c>
      <c r="D35" s="182">
        <f t="shared" ref="D35:D40" si="1">ROUND((C35/$C$41)*100,1)</f>
        <v>69.7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1075310.9599999972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8514705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623630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1080165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37288872.959999993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6" sqref="C16:M1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3" t="str">
        <f>'DOE25'!A2</f>
        <v>OYSTER RIVER COOPERATIVE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468</v>
      </c>
      <c r="C6" s="282" t="s">
        <v>914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19</v>
      </c>
      <c r="B7" s="219">
        <v>472</v>
      </c>
      <c r="C7" s="282" t="s">
        <v>914</v>
      </c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2013-08-30T15:31:41Z</cp:lastPrinted>
  <dcterms:created xsi:type="dcterms:W3CDTF">1997-12-04T19:04:30Z</dcterms:created>
  <dcterms:modified xsi:type="dcterms:W3CDTF">2013-12-05T18:54:54Z</dcterms:modified>
</cp:coreProperties>
</file>