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E16" i="13" s="1"/>
  <c r="C16" i="13" s="1"/>
  <c r="L208" i="1"/>
  <c r="L226" i="1"/>
  <c r="L244" i="1"/>
  <c r="C124" i="2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C111" i="2" s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D12" i="13" s="1"/>
  <c r="C12" i="13" s="1"/>
  <c r="F14" i="13"/>
  <c r="G14" i="13"/>
  <c r="L206" i="1"/>
  <c r="L224" i="1"/>
  <c r="L242" i="1"/>
  <c r="F15" i="13"/>
  <c r="G15" i="13"/>
  <c r="L207" i="1"/>
  <c r="F661" i="1" s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H25" i="13" s="1"/>
  <c r="C25" i="13" s="1"/>
  <c r="L340" i="1"/>
  <c r="L341" i="1"/>
  <c r="L254" i="1"/>
  <c r="F22" i="13" s="1"/>
  <c r="C22" i="13" s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6" i="1"/>
  <c r="L387" i="1"/>
  <c r="L388" i="1"/>
  <c r="L392" i="1" s="1"/>
  <c r="C137" i="2" s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111" i="1" s="1"/>
  <c r="F93" i="1"/>
  <c r="F110" i="1"/>
  <c r="G110" i="1"/>
  <c r="G111" i="1" s="1"/>
  <c r="H78" i="1"/>
  <c r="E56" i="2" s="1"/>
  <c r="E61" i="2" s="1"/>
  <c r="E62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3" i="10"/>
  <c r="C19" i="10"/>
  <c r="L249" i="1"/>
  <c r="L331" i="1"/>
  <c r="C23" i="10" s="1"/>
  <c r="L253" i="1"/>
  <c r="L267" i="1"/>
  <c r="C26" i="10" s="1"/>
  <c r="L268" i="1"/>
  <c r="L348" i="1"/>
  <c r="L349" i="1"/>
  <c r="I664" i="1"/>
  <c r="I669" i="1"/>
  <c r="L228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F31" i="2" s="1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49" i="2" s="1"/>
  <c r="D55" i="2"/>
  <c r="E55" i="2"/>
  <c r="F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E112" i="2"/>
  <c r="C113" i="2"/>
  <c r="E113" i="2"/>
  <c r="D114" i="2"/>
  <c r="F114" i="2"/>
  <c r="G114" i="2"/>
  <c r="E119" i="2"/>
  <c r="E120" i="2"/>
  <c r="C121" i="2"/>
  <c r="E121" i="2"/>
  <c r="E122" i="2"/>
  <c r="E123" i="2"/>
  <c r="E124" i="2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G158" i="2" s="1"/>
  <c r="B159" i="2"/>
  <c r="C159" i="2"/>
  <c r="D159" i="2"/>
  <c r="G159" i="2" s="1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I50" i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I459" i="1"/>
  <c r="H460" i="1"/>
  <c r="I460" i="1"/>
  <c r="H641" i="1" s="1"/>
  <c r="F469" i="1"/>
  <c r="F475" i="1" s="1"/>
  <c r="H621" i="1" s="1"/>
  <c r="G469" i="1"/>
  <c r="H469" i="1"/>
  <c r="I469" i="1"/>
  <c r="J469" i="1"/>
  <c r="J475" i="1" s="1"/>
  <c r="H625" i="1" s="1"/>
  <c r="F473" i="1"/>
  <c r="G473" i="1"/>
  <c r="G475" i="1" s="1"/>
  <c r="H622" i="1" s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I544" i="1" s="1"/>
  <c r="J523" i="1"/>
  <c r="K523" i="1"/>
  <c r="K544" i="1" s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40" i="1"/>
  <c r="H640" i="1"/>
  <c r="G642" i="1"/>
  <c r="H642" i="1"/>
  <c r="G643" i="1"/>
  <c r="G644" i="1"/>
  <c r="G649" i="1"/>
  <c r="G650" i="1"/>
  <c r="G651" i="1"/>
  <c r="H651" i="1"/>
  <c r="G652" i="1"/>
  <c r="H652" i="1"/>
  <c r="G653" i="1"/>
  <c r="H653" i="1"/>
  <c r="H654" i="1"/>
  <c r="J654" i="1" s="1"/>
  <c r="L350" i="1"/>
  <c r="A40" i="12"/>
  <c r="E49" i="2"/>
  <c r="D18" i="13"/>
  <c r="C18" i="13" s="1"/>
  <c r="D17" i="13"/>
  <c r="C17" i="13" s="1"/>
  <c r="G80" i="2"/>
  <c r="F77" i="2"/>
  <c r="F80" i="2" s="1"/>
  <c r="F61" i="2"/>
  <c r="F62" i="2" s="1"/>
  <c r="D49" i="2"/>
  <c r="G156" i="2"/>
  <c r="F49" i="2"/>
  <c r="E143" i="2"/>
  <c r="G102" i="2"/>
  <c r="E102" i="2"/>
  <c r="F90" i="2"/>
  <c r="G61" i="2"/>
  <c r="D19" i="13"/>
  <c r="C19" i="13" s="1"/>
  <c r="E13" i="13"/>
  <c r="C13" i="13" s="1"/>
  <c r="E77" i="2"/>
  <c r="E80" i="2" s="1"/>
  <c r="L426" i="1"/>
  <c r="J640" i="1"/>
  <c r="K604" i="1"/>
  <c r="G647" i="1" s="1"/>
  <c r="J570" i="1"/>
  <c r="K570" i="1"/>
  <c r="L432" i="1"/>
  <c r="L418" i="1"/>
  <c r="I168" i="1"/>
  <c r="G551" i="1"/>
  <c r="J642" i="1"/>
  <c r="I475" i="1"/>
  <c r="H624" i="1" s="1"/>
  <c r="J624" i="1" s="1"/>
  <c r="F168" i="1"/>
  <c r="J139" i="1"/>
  <c r="F570" i="1"/>
  <c r="I551" i="1"/>
  <c r="K549" i="1"/>
  <c r="G22" i="2"/>
  <c r="K597" i="1"/>
  <c r="G646" i="1" s="1"/>
  <c r="J551" i="1"/>
  <c r="H139" i="1"/>
  <c r="L559" i="1"/>
  <c r="J544" i="1"/>
  <c r="H191" i="1"/>
  <c r="L308" i="1"/>
  <c r="L569" i="1"/>
  <c r="I570" i="1"/>
  <c r="G36" i="2"/>
  <c r="F18" i="2" l="1"/>
  <c r="A31" i="12"/>
  <c r="G157" i="2"/>
  <c r="G162" i="2"/>
  <c r="G160" i="2"/>
  <c r="G155" i="2"/>
  <c r="K499" i="1"/>
  <c r="K502" i="1"/>
  <c r="G163" i="2"/>
  <c r="K550" i="1"/>
  <c r="K551" i="1" s="1"/>
  <c r="L543" i="1"/>
  <c r="G544" i="1"/>
  <c r="L533" i="1"/>
  <c r="L544" i="1" s="1"/>
  <c r="H544" i="1"/>
  <c r="K548" i="1"/>
  <c r="J644" i="1"/>
  <c r="H407" i="1"/>
  <c r="H643" i="1" s="1"/>
  <c r="J643" i="1" s="1"/>
  <c r="J639" i="1"/>
  <c r="J638" i="1"/>
  <c r="I445" i="1"/>
  <c r="G641" i="1" s="1"/>
  <c r="J641" i="1" s="1"/>
  <c r="J650" i="1"/>
  <c r="J633" i="1"/>
  <c r="L336" i="1"/>
  <c r="G660" i="1"/>
  <c r="H111" i="1"/>
  <c r="C69" i="2"/>
  <c r="C131" i="2"/>
  <c r="C25" i="10"/>
  <c r="J337" i="1"/>
  <c r="J351" i="1" s="1"/>
  <c r="I256" i="1"/>
  <c r="I270" i="1" s="1"/>
  <c r="F129" i="2"/>
  <c r="F143" i="2" s="1"/>
  <c r="F144" i="2" s="1"/>
  <c r="L381" i="1"/>
  <c r="G635" i="1" s="1"/>
  <c r="J635" i="1" s="1"/>
  <c r="I661" i="1"/>
  <c r="E31" i="2"/>
  <c r="E50" i="2" s="1"/>
  <c r="D18" i="2"/>
  <c r="C35" i="10"/>
  <c r="C36" i="10" s="1"/>
  <c r="G256" i="1"/>
  <c r="G270" i="1" s="1"/>
  <c r="C108" i="2"/>
  <c r="H475" i="1"/>
  <c r="H623" i="1" s="1"/>
  <c r="J623" i="1" s="1"/>
  <c r="J622" i="1"/>
  <c r="J621" i="1"/>
  <c r="K256" i="1"/>
  <c r="K270" i="1" s="1"/>
  <c r="D6" i="13"/>
  <c r="C6" i="13" s="1"/>
  <c r="J256" i="1"/>
  <c r="J270" i="1" s="1"/>
  <c r="F50" i="2"/>
  <c r="I51" i="1"/>
  <c r="H619" i="1" s="1"/>
  <c r="J619" i="1" s="1"/>
  <c r="E118" i="2"/>
  <c r="E127" i="2" s="1"/>
  <c r="D15" i="13"/>
  <c r="C15" i="13" s="1"/>
  <c r="C123" i="2"/>
  <c r="C117" i="2"/>
  <c r="E18" i="2"/>
  <c r="D61" i="2"/>
  <c r="D62" i="2" s="1"/>
  <c r="D14" i="13"/>
  <c r="C14" i="13" s="1"/>
  <c r="C102" i="2"/>
  <c r="C77" i="2"/>
  <c r="C80" i="2" s="1"/>
  <c r="C18" i="2"/>
  <c r="D29" i="13"/>
  <c r="C29" i="13" s="1"/>
  <c r="K337" i="1"/>
  <c r="K351" i="1" s="1"/>
  <c r="C32" i="10"/>
  <c r="H33" i="13"/>
  <c r="D7" i="13"/>
  <c r="C7" i="13" s="1"/>
  <c r="C11" i="10"/>
  <c r="L327" i="1"/>
  <c r="D126" i="2"/>
  <c r="D127" i="2" s="1"/>
  <c r="D144" i="2" s="1"/>
  <c r="C16" i="10"/>
  <c r="H337" i="1"/>
  <c r="H351" i="1" s="1"/>
  <c r="H256" i="1"/>
  <c r="H270" i="1" s="1"/>
  <c r="C29" i="10"/>
  <c r="G648" i="1"/>
  <c r="J648" i="1" s="1"/>
  <c r="C21" i="10"/>
  <c r="H646" i="1"/>
  <c r="J646" i="1" s="1"/>
  <c r="H51" i="1"/>
  <c r="H618" i="1" s="1"/>
  <c r="J618" i="1" s="1"/>
  <c r="H660" i="1"/>
  <c r="F660" i="1"/>
  <c r="G337" i="1"/>
  <c r="G351" i="1" s="1"/>
  <c r="D31" i="2"/>
  <c r="D50" i="2" s="1"/>
  <c r="G51" i="1"/>
  <c r="H617" i="1" s="1"/>
  <c r="J617" i="1" s="1"/>
  <c r="C10" i="10"/>
  <c r="F337" i="1"/>
  <c r="F351" i="1" s="1"/>
  <c r="E108" i="2"/>
  <c r="E114" i="2" s="1"/>
  <c r="L289" i="1"/>
  <c r="C20" i="10"/>
  <c r="C18" i="10"/>
  <c r="C120" i="2"/>
  <c r="C17" i="10"/>
  <c r="E8" i="13"/>
  <c r="C8" i="13" s="1"/>
  <c r="C118" i="2"/>
  <c r="C15" i="10"/>
  <c r="F256" i="1"/>
  <c r="F270" i="1" s="1"/>
  <c r="C12" i="10"/>
  <c r="D5" i="13"/>
  <c r="C5" i="13" s="1"/>
  <c r="L246" i="1"/>
  <c r="L210" i="1"/>
  <c r="C122" i="2"/>
  <c r="C109" i="2"/>
  <c r="C56" i="2"/>
  <c r="C61" i="2" s="1"/>
  <c r="C62" i="2" s="1"/>
  <c r="C31" i="2"/>
  <c r="C50" i="2" s="1"/>
  <c r="F51" i="1"/>
  <c r="H616" i="1" s="1"/>
  <c r="J616" i="1" s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G62" i="2"/>
  <c r="G103" i="2" s="1"/>
  <c r="G42" i="2"/>
  <c r="J50" i="1"/>
  <c r="G16" i="2"/>
  <c r="J19" i="1"/>
  <c r="G620" i="1" s="1"/>
  <c r="G18" i="2"/>
  <c r="F544" i="1"/>
  <c r="H433" i="1"/>
  <c r="D102" i="2"/>
  <c r="I139" i="1"/>
  <c r="A22" i="12"/>
  <c r="G49" i="2"/>
  <c r="G50" i="2" s="1"/>
  <c r="J651" i="1"/>
  <c r="G570" i="1"/>
  <c r="I433" i="1"/>
  <c r="G433" i="1"/>
  <c r="I662" i="1"/>
  <c r="C27" i="10"/>
  <c r="G634" i="1"/>
  <c r="J634" i="1" s="1"/>
  <c r="H645" i="1" l="1"/>
  <c r="G663" i="1"/>
  <c r="G666" i="1" s="1"/>
  <c r="H647" i="1"/>
  <c r="J647" i="1" s="1"/>
  <c r="C114" i="2"/>
  <c r="D103" i="2"/>
  <c r="I660" i="1"/>
  <c r="L337" i="1"/>
  <c r="L351" i="1" s="1"/>
  <c r="G632" i="1" s="1"/>
  <c r="J632" i="1" s="1"/>
  <c r="I192" i="1"/>
  <c r="G629" i="1" s="1"/>
  <c r="J629" i="1" s="1"/>
  <c r="E33" i="13"/>
  <c r="D35" i="13" s="1"/>
  <c r="E144" i="2"/>
  <c r="D31" i="13"/>
  <c r="C31" i="13" s="1"/>
  <c r="C127" i="2"/>
  <c r="L256" i="1"/>
  <c r="L270" i="1" s="1"/>
  <c r="G631" i="1" s="1"/>
  <c r="J631" i="1" s="1"/>
  <c r="F659" i="1"/>
  <c r="F663" i="1" s="1"/>
  <c r="F666" i="1" s="1"/>
  <c r="C28" i="10"/>
  <c r="D19" i="10" s="1"/>
  <c r="H659" i="1"/>
  <c r="H663" i="1" s="1"/>
  <c r="H666" i="1" s="1"/>
  <c r="C103" i="2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71" i="1" l="1"/>
  <c r="C5" i="10" s="1"/>
  <c r="C144" i="2"/>
  <c r="F671" i="1"/>
  <c r="C4" i="10" s="1"/>
  <c r="D33" i="13"/>
  <c r="D36" i="13" s="1"/>
  <c r="I659" i="1"/>
  <c r="I663" i="1" s="1"/>
  <c r="I671" i="1" s="1"/>
  <c r="C7" i="10" s="1"/>
  <c r="D13" i="10"/>
  <c r="D11" i="10"/>
  <c r="D22" i="10"/>
  <c r="D27" i="10"/>
  <c r="D17" i="10"/>
  <c r="D24" i="10"/>
  <c r="D10" i="10"/>
  <c r="C30" i="10"/>
  <c r="D23" i="10"/>
  <c r="D20" i="10"/>
  <c r="D25" i="10"/>
  <c r="D21" i="10"/>
  <c r="D18" i="10"/>
  <c r="D12" i="10"/>
  <c r="D26" i="10"/>
  <c r="D16" i="10"/>
  <c r="D15" i="10"/>
  <c r="H671" i="1"/>
  <c r="C6" i="10" s="1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<sst xmlns="http://schemas.openxmlformats.org/spreadsheetml/2006/main" count="3956" uniqueCount="919">
  <si>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</si>
  <si>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</si>
  <si>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</si>
  <si>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</si>
  <si>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</si>
  <si>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</si>
  <si>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</si>
  <si>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</si>
  <si>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</si>
  <si>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</si>
  <si>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</si>
  <si>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</si>
  <si>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</si>
  <si>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</si>
  <si>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</si>
  <si>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</si>
  <si>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</si>
  <si>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</si>
  <si>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</si>
  <si>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</si>
  <si>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</si>
  <si>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</si>
  <si>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</si>
  <si>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</si>
  <si>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</si>
  <si>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</si>
  <si>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</si>
  <si>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</si>
  <si>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</si>
  <si>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</si>
  <si>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</si>
  <si>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</si>
  <si>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</si>
  <si>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</si>
  <si>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</si>
  <si>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</si>
  <si>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</si>
  <si>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</si>
  <si>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</si>
  <si>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</si>
  <si>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</si>
  <si>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</si>
  <si>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</si>
  <si>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</si>
  <si>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</si>
  <si>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</si>
  <si>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</si>
  <si>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</si>
  <si>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</si>
  <si>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</si>
  <si>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</si>
  <si>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</si>
  <si>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</si>
  <si>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</si>
  <si>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</si>
  <si>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</si>
  <si>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</si>
  <si>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</si>
  <si>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</si>
  <si>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</si>
  <si>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</si>
  <si>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</si>
  <si>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</si>
  <si>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</si>
  <si>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</si>
  <si>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</si>
  <si>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</si>
  <si>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</si>
  <si>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</si>
  <si>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</si>
  <si>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</si>
  <si>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</si>
  <si>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</si>
  <si>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</si>
  <si>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</si>
  <si>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</si>
  <si>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</si>
  <si>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</si>
  <si>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</si>
  <si>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</si>
  <si>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</si>
  <si>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</si>
  <si>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</si>
  <si>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</si>
  <si>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</si>
  <si>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</si>
  <si>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</si>
  <si>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</si>
  <si>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</si>
  <si>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</si>
  <si>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</si>
  <si>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</si>
  <si>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</si>
  <si>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</si>
  <si>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</si>
  <si>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</si>
  <si>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</si>
  <si>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</si>
  <si>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</si>
  <si>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</si>
  <si>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</si>
  <si>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</si>
  <si>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</si>
  <si>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</si>
  <si>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</si>
  <si>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</si>
  <si>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</si>
  <si>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</si>
  <si>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</si>
  <si>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</si>
  <si>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</si>
  <si>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</si>
  <si>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</si>
  <si>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</si>
  <si>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</si>
  <si>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</si>
  <si>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</si>
  <si>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</si>
  <si>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</si>
  <si>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</si>
  <si>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</si>
  <si>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</si>
  <si>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</si>
  <si>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</si>
  <si>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</si>
  <si>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</si>
  <si>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</si>
  <si>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</si>
  <si>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</si>
  <si>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</si>
  <si>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</si>
  <si>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</si>
  <si>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</si>
  <si>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</si>
  <si>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</si>
  <si>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</si>
  <si>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</si>
  <si>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</si>
  <si>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</si>
  <si>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</si>
  <si>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</si>
  <si>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</si>
  <si>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</si>
  <si>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</si>
  <si>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</si>
  <si>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</si>
  <si>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</si>
  <si>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</si>
  <si>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</si>
  <si>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</si>
  <si>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</si>
  <si>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</si>
  <si>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</si>
  <si>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</si>
  <si>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</si>
  <si>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</si>
  <si>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</si>
  <si>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</si>
  <si>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</si>
  <si>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</si>
  <si>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</si>
  <si>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</si>
  <si>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</si>
  <si>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</si>
  <si>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</si>
  <si>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</si>
  <si>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</si>
  <si>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</si>
  <si>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</si>
  <si>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</si>
  <si>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</si>
  <si>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</si>
  <si>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</si>
  <si>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</si>
  <si>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</si>
  <si>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</si>
  <si>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</si>
  <si>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</si>
  <si>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</si>
  <si>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</si>
  <si>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</si>
  <si>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</si>
  <si>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</si>
  <si>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</si>
  <si>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</si>
  <si>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</si>
  <si>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</si>
  <si>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</si>
  <si>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</si>
  <si>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</si>
  <si>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</si>
  <si>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</si>
  <si>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</si>
  <si>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</si>
  <si>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</si>
  <si>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</si>
  <si>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</si>
  <si>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</si>
  <si>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</si>
  <si>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</si>
  <si>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</si>
  <si>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</si>
  <si>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</si>
  <si>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</si>
  <si>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</si>
  <si>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</si>
  <si>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</si>
  <si>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</si>
  <si>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</si>
  <si>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</si>
  <si>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</si>
  <si>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</si>
  <si>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</si>
  <si>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</si>
  <si>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</si>
  <si>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</si>
  <si>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</si>
  <si>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</si>
  <si>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</si>
  <si>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</si>
  <si>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</si>
  <si>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</si>
  <si>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</si>
  <si>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</si>
  <si>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</si>
  <si>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</si>
  <si>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</si>
  <si>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</si>
  <si>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</si>
  <si>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</si>
  <si>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</si>
  <si>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</si>
  <si>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</si>
  <si>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</si>
  <si>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</si>
  <si>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</si>
  <si>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</si>
  <si>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</si>
  <si>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</si>
  <si>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</si>
  <si>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</si>
  <si>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</si>
  <si>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</si>
  <si>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</si>
  <si>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</si>
  <si>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</si>
  <si>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</si>
  <si>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</si>
  <si>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</si>
  <si>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</si>
  <si>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</si>
  <si>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</si>
  <si>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</si>
  <si>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</si>
  <si>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</si>
  <si>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</si>
  <si>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</si>
  <si>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</si>
  <si>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</si>
  <si>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</si>
  <si>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</si>
  <si>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</si>
  <si>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</si>
  <si>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</si>
  <si>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</si>
  <si>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</si>
  <si>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</si>
  <si>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</si>
  <si>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</si>
  <si>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</si>
  <si>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</si>
  <si>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</si>
  <si>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</si>
  <si>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</si>
  <si>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</si>
  <si>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</si>
  <si>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</si>
  <si>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</si>
  <si>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</si>
  <si>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</si>
  <si>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</si>
  <si>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</si>
  <si>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</si>
  <si>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</si>
  <si>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</si>
  <si>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</si>
  <si>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</si>
  <si>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</si>
  <si>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</si>
  <si>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</si>
  <si>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</si>
  <si>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</si>
  <si>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</si>
  <si>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</si>
  <si>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</si>
  <si>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</si>
  <si>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</si>
  <si>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</si>
  <si>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</si>
  <si>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</si>
  <si>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</si>
  <si>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</si>
  <si>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</si>
  <si>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</si>
  <si>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</si>
  <si>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</si>
  <si>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</si>
  <si>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</si>
  <si>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</si>
  <si>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</si>
  <si>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</si>
  <si>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</si>
  <si>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</si>
  <si>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</si>
  <si>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</si>
  <si>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</si>
  <si>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</si>
  <si>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</si>
  <si>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</si>
  <si>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</si>
  <si>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</si>
  <si>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</si>
  <si>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</si>
  <si>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</si>
  <si>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</si>
  <si>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</si>
  <si>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</si>
  <si>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</si>
  <si>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</si>
  <si>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</si>
  <si>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</si>
  <si>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</si>
  <si>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</si>
  <si>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</si>
  <si>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</si>
  <si>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</si>
  <si>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</si>
  <si>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</si>
  <si>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</si>
  <si>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</si>
  <si>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</si>
  <si>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</si>
  <si>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</si>
  <si>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</si>
  <si>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</si>
  <si>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</si>
  <si>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</si>
  <si>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</si>
  <si>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</si>
  <si>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</si>
  <si>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</si>
  <si>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</si>
  <si>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</si>
  <si>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</si>
  <si>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</si>
  <si>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</si>
  <si>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</si>
  <si>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</si>
  <si>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</si>
  <si>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</si>
  <si>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</si>
  <si>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</si>
  <si>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</si>
  <si>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</si>
  <si>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</si>
  <si>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</si>
  <si>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</si>
  <si>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</si>
  <si>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</si>
  <si>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</si>
  <si>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</si>
  <si>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</si>
  <si>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</si>
  <si>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</si>
  <si>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</si>
  <si>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</si>
  <si>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</si>
  <si>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</si>
  <si>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</si>
  <si>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</si>
  <si>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</si>
  <si>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</si>
  <si>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</si>
  <si>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</si>
  <si>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</si>
  <si>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</si>
  <si>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</si>
  <si>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</si>
  <si>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</si>
  <si>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</si>
  <si>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</si>
  <si>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</si>
  <si>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</si>
  <si>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</si>
  <si>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</si>
  <si>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</si>
  <si>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</si>
  <si>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</si>
  <si>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</si>
  <si>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</si>
  <si>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</si>
  <si>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</si>
  <si>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</si>
  <si>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</si>
  <si>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</si>
  <si>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</si>
  <si>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</si>
  <si>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</si>
  <si>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</si>
  <si>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</si>
  <si>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</si>
  <si>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</si>
  <si>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</si>
  <si>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</si>
  <si>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</si>
  <si>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</si>
  <si>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</si>
  <si>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</si>
  <si>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</si>
  <si>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</si>
  <si>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</si>
  <si>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</si>
  <si>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</si>
  <si>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</si>
  <si>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</si>
  <si>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</si>
  <si>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</si>
  <si>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</si>
  <si>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</si>
  <si>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</si>
  <si>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</si>
  <si>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</si>
  <si>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</si>
  <si>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</si>
  <si>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</si>
  <si>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</si>
  <si>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</si>
  <si>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</si>
  <si>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</si>
  <si>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</si>
  <si>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</si>
  <si>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</si>
  <si>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</si>
  <si>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</si>
  <si>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</si>
  <si>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</si>
  <si>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</si>
  <si>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</si>
  <si>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</si>
  <si>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</si>
  <si>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</si>
  <si>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</si>
  <si>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</si>
  <si>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</si>
  <si>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</si>
  <si>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</si>
  <si>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</si>
  <si>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</si>
  <si>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</si>
  <si>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</si>
  <si>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</si>
  <si>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</si>
  <si>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</si>
  <si>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</si>
  <si>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</si>
  <si>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</si>
  <si>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</si>
  <si>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</si>
  <si>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</si>
  <si>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</si>
  <si>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</si>
  <si>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</si>
  <si>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</si>
  <si>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</si>
  <si>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</si>
  <si>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</si>
  <si>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</si>
  <si>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</si>
  <si>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</si>
  <si>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</si>
  <si>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</si>
  <si>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</si>
  <si>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</si>
  <si>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</si>
  <si>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</si>
  <si>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</si>
  <si>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</si>
  <si>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</si>
  <si>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</si>
  <si>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</si>
  <si>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</si>
  <si>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</si>
  <si>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</si>
  <si>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</si>
  <si>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</si>
  <si>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</si>
  <si>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</si>
  <si>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</si>
  <si>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</si>
  <si>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</si>
  <si>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</si>
  <si>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</si>
  <si>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</si>
  <si>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</si>
  <si>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</si>
  <si>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</si>
  <si>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</si>
  <si>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</si>
  <si>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</si>
  <si>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</si>
  <si>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</si>
  <si>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</si>
  <si>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</si>
  <si>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</si>
  <si>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</si>
  <si>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</si>
  <si>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</si>
  <si>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</si>
  <si>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</si>
  <si>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</si>
  <si>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</si>
  <si>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</si>
  <si>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</si>
  <si>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</si>
  <si>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</si>
  <si>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</si>
  <si>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</si>
  <si>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</si>
  <si>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</si>
  <si>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</si>
  <si>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</si>
  <si>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</si>
  <si>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</si>
  <si>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</si>
  <si>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</si>
  <si>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</si>
  <si>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</si>
  <si>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</si>
  <si>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</si>
  <si>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</si>
  <si>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</si>
  <si>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</si>
  <si>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</si>
  <si>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</si>
  <si>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</si>
  <si>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</si>
  <si>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</si>
  <si>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</si>
  <si>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</si>
  <si>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</si>
  <si>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</si>
  <si>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</si>
  <si>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</si>
  <si>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</si>
  <si>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</si>
  <si>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</si>
  <si>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</si>
  <si>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</si>
  <si>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</si>
  <si>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</si>
  <si>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</si>
  <si>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</si>
  <si>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</si>
  <si>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</si>
  <si>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</si>
  <si>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</si>
  <si>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</si>
  <si>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</si>
  <si>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</si>
  <si>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</si>
  <si>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</si>
  <si>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</si>
  <si>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</si>
  <si>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</si>
  <si>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</si>
  <si>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</si>
  <si>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</si>
  <si>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</si>
  <si>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</si>
  <si>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</si>
  <si>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</si>
  <si>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</si>
  <si>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</si>
  <si>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</si>
  <si>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</si>
  <si>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</si>
  <si>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</si>
  <si>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</si>
  <si>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</si>
  <si>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</si>
  <si>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</si>
  <si>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</si>
  <si>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</si>
  <si>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</si>
  <si>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</si>
  <si>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</si>
  <si>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</si>
  <si>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</si>
  <si>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</si>
  <si>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</si>
  <si>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</si>
  <si>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</si>
  <si>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</si>
  <si>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</si>
  <si>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</si>
  <si>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</si>
  <si>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</si>
  <si>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</si>
  <si>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</si>
  <si>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</si>
  <si>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</si>
  <si>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</si>
  <si>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</si>
  <si>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</si>
  <si>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</si>
  <si>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</si>
  <si>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</si>
  <si>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</si>
  <si>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</si>
  <si>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</si>
  <si>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</si>
  <si>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</si>
  <si>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</si>
  <si>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</si>
  <si>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</si>
  <si>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</si>
  <si>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</si>
  <si>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</si>
  <si>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</si>
  <si>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</si>
  <si>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</si>
  <si>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</si>
  <si>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</si>
  <si>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</si>
  <si>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</si>
  <si>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</si>
  <si>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</si>
  <si>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</si>
  <si>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</si>
  <si>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</si>
  <si>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</si>
  <si>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</si>
  <si>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</si>
  <si>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</si>
  <si>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</si>
  <si>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</si>
  <si>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</si>
  <si>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</si>
  <si>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</si>
  <si>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</si>
  <si>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</si>
  <si>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</si>
  <si>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</si>
  <si>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</si>
  <si>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</si>
  <si>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</si>
  <si>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</si>
  <si>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</si>
  <si>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</si>
  <si>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</si>
  <si>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</si>
  <si>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</si>
  <si>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</si>
  <si>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</si>
  <si>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</si>
  <si>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</si>
  <si>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</si>
  <si>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</si>
  <si>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</si>
  <si>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</si>
  <si>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</si>
  <si>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</si>
  <si>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</si>
  <si>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</si>
  <si>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</si>
  <si>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</si>
  <si>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</si>
  <si>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</si>
  <si>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</si>
  <si>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</si>
  <si>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</si>
  <si>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</si>
  <si>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</si>
  <si>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</si>
  <si>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</si>
  <si>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</si>
  <si>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</si>
  <si>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</si>
  <si>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</si>
  <si>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</si>
  <si>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</si>
  <si>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</si>
  <si>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</si>
  <si>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</si>
  <si>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</si>
  <si>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</si>
  <si>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</si>
  <si>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</si>
  <si>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</si>
  <si>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</si>
  <si>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</si>
  <si>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</si>
  <si>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</si>
  <si>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</si>
  <si>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</si>
  <si>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</si>
  <si>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</si>
  <si>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</si>
  <si>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</si>
  <si>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</si>
  <si>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</si>
  <si>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</si>
  <si>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</si>
  <si>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</si>
  <si>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</si>
  <si>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</si>
  <si>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</si>
  <si>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</si>
  <si>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</si>
  <si>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</si>
  <si>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</si>
  <si>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</si>
  <si>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</si>
  <si>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</si>
  <si>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</si>
  <si>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</si>
  <si>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</si>
  <si>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</si>
  <si>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</si>
  <si>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</si>
  <si>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</si>
  <si>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</si>
  <si>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</si>
  <si>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</si>
  <si>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</si>
  <si>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</si>
  <si>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</si>
  <si>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</si>
  <si>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</si>
  <si>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</si>
  <si>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</si>
  <si>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</si>
  <si>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</si>
  <si>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</si>
  <si>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</si>
  <si>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</si>
  <si>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</si>
  <si>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</si>
  <si>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</si>
  <si>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</si>
  <si>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</si>
  <si>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</si>
  <si>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</si>
  <si>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</si>
  <si>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</si>
  <si>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</si>
  <si>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</si>
  <si>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</si>
  <si>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</si>
  <si>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</si>
  <si>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</si>
  <si>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</si>
  <si>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</si>
  <si>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</si>
  <si>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</si>
  <si>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</si>
  <si>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</si>
  <si>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</si>
  <si>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</si>
  <si>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</si>
  <si>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</si>
  <si>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</si>
  <si>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</si>
  <si>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</si>
  <si>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</si>
  <si>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</si>
  <si>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</si>
  <si>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</si>
  <si>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</si>
  <si>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</si>
  <si>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</si>
  <si>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</si>
  <si>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</si>
  <si>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</si>
  <si>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</si>
  <si>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</si>
  <si>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</si>
  <si>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</si>
  <si>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</si>
  <si>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</si>
  <si>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</si>
  <si>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</si>
  <si>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</si>
  <si>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</si>
  <si>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</si>
  <si>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</si>
  <si>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</si>
  <si>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</si>
  <si>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</si>
  <si>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</si>
  <si>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</si>
  <si>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</si>
  <si>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</si>
  <si>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</si>
  <si>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</si>
  <si>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</si>
  <si>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</si>
  <si>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</si>
  <si>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</si>
  <si>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</si>
  <si>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</si>
  <si>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</si>
  <si>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</si>
  <si>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</si>
  <si>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</si>
  <si>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</si>
  <si>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</si>
  <si>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</si>
  <si>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</si>
  <si>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</si>
  <si>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</si>
  <si>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</si>
  <si>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</si>
  <si>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</si>
  <si>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</si>
  <si>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</si>
  <si>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</si>
  <si>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</si>
  <si>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</si>
  <si>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</si>
  <si>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</si>
  <si>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</si>
  <si>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</si>
  <si>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</si>
  <si>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</si>
  <si>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</si>
  <si>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</si>
  <si>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</si>
  <si>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</si>
  <si>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</si>
  <si>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</si>
  <si>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</si>
  <si>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</si>
  <si>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</si>
  <si>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</si>
  <si>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</si>
  <si>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</si>
  <si>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</si>
  <si>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</si>
  <si>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</si>
  <si>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</si>
  <si>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</si>
  <si>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</si>
  <si>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</si>
  <si>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</si>
  <si>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</si>
  <si>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</si>
  <si>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</si>
  <si>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</si>
  <si>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</si>
  <si>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</si>
  <si>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</si>
  <si>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</si>
  <si>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</si>
  <si>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</si>
  <si>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</si>
  <si>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</si>
  <si>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</si>
  <si>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</si>
  <si>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</si>
  <si>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</si>
  <si>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</si>
  <si>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</si>
  <si>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</si>
  <si>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</si>
  <si>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</si>
  <si>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</si>
  <si>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</si>
  <si>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</si>
  <si>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</si>
  <si>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</si>
  <si>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</si>
  <si>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</si>
  <si>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</si>
  <si>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</si>
  <si>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</si>
  <si>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</si>
  <si>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</si>
  <si>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</si>
  <si>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</si>
  <si>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</si>
  <si>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</si>
  <si>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</si>
  <si>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</si>
  <si>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</si>
  <si>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</si>
  <si>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</si>
  <si>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</si>
  <si>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</si>
  <si>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</si>
  <si>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</si>
  <si>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</si>
  <si>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</si>
  <si>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</si>
  <si>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</si>
  <si>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</si>
  <si>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</si>
  <si>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</si>
  <si>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</si>
  <si>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Pembroke School District</t>
  </si>
  <si>
    <t>09/99</t>
  </si>
  <si>
    <t>09/15</t>
  </si>
  <si>
    <t>08/07</t>
  </si>
  <si>
    <t>11/22</t>
  </si>
  <si>
    <t>01/23</t>
  </si>
  <si>
    <t>01/10</t>
  </si>
  <si>
    <t>07/25</t>
  </si>
  <si>
    <t>01/12</t>
  </si>
  <si>
    <t>01/22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</si>
</sst>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427</v>
      </c>
      <c r="C2" s="21">
        <v>427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1351448.08</v>
      </c>
      <c r="G9" s="18">
        <v>14514.63</v>
      </c>
      <c r="H9" s="18"/>
      <c r="I9" s="18">
        <v>0</v>
      </c>
      <c r="J9" s="67">
        <f>SUM(I438)</f>
        <v>826791.21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71812.399999999994</v>
      </c>
      <c r="H12" s="18"/>
      <c r="I12" s="18">
        <v>1089.07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280195.02</v>
      </c>
      <c r="G13" s="18">
        <v>45376.86</v>
      </c>
      <c r="H13" s="18">
        <v>44227.43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6290.35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51763.65</v>
      </c>
      <c r="G17" s="18">
        <v>4438.37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1683406.75</v>
      </c>
      <c r="G19" s="41">
        <f>SUM(G9:G18)</f>
        <v>142432.61000000002</v>
      </c>
      <c r="H19" s="41">
        <f>SUM(H9:H18)</f>
        <v>44227.43</v>
      </c>
      <c r="I19" s="41">
        <f>SUM(I9:I18)</f>
        <v>1089.07</v>
      </c>
      <c r="J19" s="41">
        <f>SUM(J9:J18)</f>
        <v>826791.21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31715.89</v>
      </c>
      <c r="G22" s="18" t="s">
        <v>287</v>
      </c>
      <c r="H22" s="18">
        <v>41185.58</v>
      </c>
      <c r="I22" s="18" t="s">
        <v>287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702390.33</v>
      </c>
      <c r="G23" s="18">
        <v>7345.37</v>
      </c>
      <c r="H23" s="18">
        <v>2790.5</v>
      </c>
      <c r="I23" s="18">
        <v>1089.07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109344.97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349415.46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3750.5</v>
      </c>
      <c r="G30" s="18"/>
      <c r="H30" s="18">
        <v>251.35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1196617.1499999999</v>
      </c>
      <c r="G32" s="41">
        <f>SUM(G22:G31)</f>
        <v>7345.37</v>
      </c>
      <c r="H32" s="41">
        <f>SUM(H22:H31)</f>
        <v>44227.43</v>
      </c>
      <c r="I32" s="41">
        <f>SUM(I22:I31)</f>
        <v>1089.07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135087.24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54539.74</v>
      </c>
      <c r="G47" s="18"/>
      <c r="H47" s="18"/>
      <c r="I47" s="18"/>
      <c r="J47" s="13">
        <f>SUM(I458)</f>
        <v>826791.21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332249.86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486789.6</v>
      </c>
      <c r="G50" s="41">
        <f>SUM(G35:G49)</f>
        <v>135087.24</v>
      </c>
      <c r="H50" s="41">
        <f>SUM(H35:H49)</f>
        <v>0</v>
      </c>
      <c r="I50" s="41">
        <f>SUM(I35:I49)</f>
        <v>0</v>
      </c>
      <c r="J50" s="41">
        <f>SUM(J35:J49)</f>
        <v>826791.21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1683406.75</v>
      </c>
      <c r="G51" s="41">
        <f>G50+G32</f>
        <v>142432.60999999999</v>
      </c>
      <c r="H51" s="41">
        <f>H50+H32</f>
        <v>44227.43</v>
      </c>
      <c r="I51" s="41">
        <f>I50+I32</f>
        <v>1089.07</v>
      </c>
      <c r="J51" s="41">
        <f>J50+J32</f>
        <v>826791.21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10077916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10077916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40659.86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16365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4696081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417254.44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5170360.3000000007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13914.91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2210.65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16125.56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64.17</v>
      </c>
      <c r="H95" s="18"/>
      <c r="I95" s="18"/>
      <c r="J95" s="18">
        <v>234.17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390568.62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5662.64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33970.129999999997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3526.4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46487.12</v>
      </c>
      <c r="G109" s="18">
        <v>245.5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89646.290000000008</v>
      </c>
      <c r="G110" s="41">
        <f>SUM(G95:G109)</f>
        <v>390878.29</v>
      </c>
      <c r="H110" s="41">
        <f>SUM(H95:H109)</f>
        <v>0</v>
      </c>
      <c r="I110" s="41">
        <f>SUM(I95:I109)</f>
        <v>0</v>
      </c>
      <c r="J110" s="41">
        <f>SUM(J95:J109)</f>
        <v>234.17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15354048.15</v>
      </c>
      <c r="G111" s="41">
        <f>G59+G110</f>
        <v>390878.29</v>
      </c>
      <c r="H111" s="41">
        <f>H59+H78+H93+H110</f>
        <v>0</v>
      </c>
      <c r="I111" s="41">
        <f>I59+I110</f>
        <v>0</v>
      </c>
      <c r="J111" s="41">
        <f>J59+J110</f>
        <v>234.17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5526393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1344325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6870718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483910.14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288070.52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8361.57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6742.22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780342.23</v>
      </c>
      <c r="G135" s="41">
        <f>SUM(G122:G134)</f>
        <v>6742.22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7651060.2300000004</v>
      </c>
      <c r="G139" s="41">
        <f>G120+SUM(G135:G136)</f>
        <v>6742.22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261546.12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203869.65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28953.23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251897.41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234928.14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234928.14</v>
      </c>
      <c r="G161" s="41">
        <f>SUM(G149:G160)</f>
        <v>251897.41</v>
      </c>
      <c r="H161" s="41">
        <f>SUM(H149:H160)</f>
        <v>494369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234928.14</v>
      </c>
      <c r="G168" s="41">
        <f>G146+G161+SUM(G162:G167)</f>
        <v>251897.41</v>
      </c>
      <c r="H168" s="41">
        <f>H146+H161+SUM(H162:H167)</f>
        <v>494369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2848.24</v>
      </c>
      <c r="H178" s="18"/>
      <c r="I178" s="18"/>
      <c r="J178" s="18">
        <v>175000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605.95000000000005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605.95000000000005</v>
      </c>
      <c r="G182" s="41">
        <f>SUM(G178:G181)</f>
        <v>2848.24</v>
      </c>
      <c r="H182" s="41">
        <f>SUM(H178:H181)</f>
        <v>0</v>
      </c>
      <c r="I182" s="41">
        <f>SUM(I178:I181)</f>
        <v>0</v>
      </c>
      <c r="J182" s="41">
        <f>SUM(J178:J181)</f>
        <v>175000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49497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50222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99719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100324.95</v>
      </c>
      <c r="G191" s="41">
        <f>G182+SUM(G187:G190)</f>
        <v>2848.24</v>
      </c>
      <c r="H191" s="41">
        <f>+H182+SUM(H187:H190)</f>
        <v>0</v>
      </c>
      <c r="I191" s="41">
        <f>I176+I182+SUM(I187:I190)</f>
        <v>0</v>
      </c>
      <c r="J191" s="41">
        <f>J182</f>
        <v>175000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23340361.470000003</v>
      </c>
      <c r="G192" s="47">
        <f>G111+G139+G168+G191</f>
        <v>652366.15999999992</v>
      </c>
      <c r="H192" s="47">
        <f>H111+H139+H168+H191</f>
        <v>494369</v>
      </c>
      <c r="I192" s="47">
        <f>I111+I139+I168+I191</f>
        <v>0</v>
      </c>
      <c r="J192" s="47">
        <f>J111+J139+J191</f>
        <v>175234.17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3159579.02</v>
      </c>
      <c r="G196" s="18">
        <v>1648620.13</v>
      </c>
      <c r="H196" s="18">
        <v>25939.79</v>
      </c>
      <c r="I196" s="18">
        <v>68615.31</v>
      </c>
      <c r="J196" s="18">
        <v>66688.070000000007</v>
      </c>
      <c r="K196" s="18">
        <v>124</v>
      </c>
      <c r="L196" s="19">
        <f>SUM(F196:K196)</f>
        <v>4969566.32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1265363.47</v>
      </c>
      <c r="G197" s="18">
        <v>660040.01</v>
      </c>
      <c r="H197" s="18">
        <v>695498.15</v>
      </c>
      <c r="I197" s="18">
        <v>8795.26</v>
      </c>
      <c r="J197" s="18">
        <v>21663.07</v>
      </c>
      <c r="K197" s="18">
        <v>749</v>
      </c>
      <c r="L197" s="19">
        <f>SUM(F197:K197)</f>
        <v>2652108.9599999995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47763</v>
      </c>
      <c r="G199" s="18">
        <v>23678.57</v>
      </c>
      <c r="H199" s="18">
        <v>4265</v>
      </c>
      <c r="I199" s="18">
        <v>1922.28</v>
      </c>
      <c r="J199" s="18">
        <v>3000</v>
      </c>
      <c r="K199" s="18">
        <v>90</v>
      </c>
      <c r="L199" s="19">
        <f>SUM(F199:K199)</f>
        <v>80718.850000000006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271875</v>
      </c>
      <c r="G201" s="18">
        <v>142071.39000000001</v>
      </c>
      <c r="H201" s="18">
        <v>426206.35</v>
      </c>
      <c r="I201" s="18">
        <v>7360.24</v>
      </c>
      <c r="J201" s="18">
        <v>897.99</v>
      </c>
      <c r="K201" s="18"/>
      <c r="L201" s="19">
        <f t="shared" ref="L201:L207" si="0">SUM(F201:K201)</f>
        <v>848410.97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126399.48</v>
      </c>
      <c r="G202" s="18">
        <v>102360.05</v>
      </c>
      <c r="H202" s="18">
        <v>15742.99</v>
      </c>
      <c r="I202" s="18">
        <v>4249.6400000000003</v>
      </c>
      <c r="J202" s="18">
        <v>249</v>
      </c>
      <c r="K202" s="18"/>
      <c r="L202" s="19">
        <f t="shared" si="0"/>
        <v>249001.16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3550.9</v>
      </c>
      <c r="G203" s="18">
        <v>2959.82</v>
      </c>
      <c r="H203" s="18">
        <v>279187.26</v>
      </c>
      <c r="I203" s="18">
        <v>724.46</v>
      </c>
      <c r="J203" s="18"/>
      <c r="K203" s="18">
        <v>3546.55</v>
      </c>
      <c r="L203" s="19">
        <f t="shared" si="0"/>
        <v>289968.99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532285.24</v>
      </c>
      <c r="G204" s="18">
        <v>280722.14</v>
      </c>
      <c r="H204" s="18">
        <v>31134.61</v>
      </c>
      <c r="I204" s="18">
        <v>9750.4500000000007</v>
      </c>
      <c r="J204" s="18">
        <v>1981.87</v>
      </c>
      <c r="K204" s="18">
        <v>3347.33</v>
      </c>
      <c r="L204" s="19">
        <f t="shared" si="0"/>
        <v>859221.6399999999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266351.19</v>
      </c>
      <c r="G206" s="18">
        <v>139111.57</v>
      </c>
      <c r="H206" s="18">
        <v>166528.44</v>
      </c>
      <c r="I206" s="18">
        <v>149238.62</v>
      </c>
      <c r="J206" s="18">
        <v>7970.25</v>
      </c>
      <c r="K206" s="18"/>
      <c r="L206" s="19">
        <f t="shared" si="0"/>
        <v>729200.07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444779.36</v>
      </c>
      <c r="I207" s="18"/>
      <c r="J207" s="18"/>
      <c r="K207" s="18"/>
      <c r="L207" s="19">
        <f t="shared" si="0"/>
        <v>444779.36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5673167.3000000017</v>
      </c>
      <c r="G210" s="41">
        <f t="shared" si="1"/>
        <v>2999563.6799999992</v>
      </c>
      <c r="H210" s="41">
        <f t="shared" si="1"/>
        <v>2089281.9500000002</v>
      </c>
      <c r="I210" s="41">
        <f t="shared" si="1"/>
        <v>250656.26</v>
      </c>
      <c r="J210" s="41">
        <f t="shared" si="1"/>
        <v>102450.25000000001</v>
      </c>
      <c r="K210" s="41">
        <f t="shared" si="1"/>
        <v>7856.88</v>
      </c>
      <c r="L210" s="41">
        <f t="shared" si="1"/>
        <v>11122976.32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2652686.9900000002</v>
      </c>
      <c r="G232" s="18">
        <v>1281302.9099999999</v>
      </c>
      <c r="H232" s="18">
        <v>47042.15</v>
      </c>
      <c r="I232" s="18">
        <v>103625.86</v>
      </c>
      <c r="J232" s="18">
        <v>104795.96</v>
      </c>
      <c r="K232" s="18">
        <v>1603.81</v>
      </c>
      <c r="L232" s="19">
        <f>SUM(F232:K232)</f>
        <v>4191057.68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769393.17</v>
      </c>
      <c r="G233" s="18">
        <v>372502.49</v>
      </c>
      <c r="H233" s="18">
        <v>418962.66</v>
      </c>
      <c r="I233" s="18">
        <v>10125</v>
      </c>
      <c r="J233" s="18">
        <v>1056.07</v>
      </c>
      <c r="K233" s="18">
        <v>895</v>
      </c>
      <c r="L233" s="19">
        <f>SUM(F233:K233)</f>
        <v>1572934.3900000001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540721.46</v>
      </c>
      <c r="G234" s="18">
        <v>261544.3</v>
      </c>
      <c r="H234" s="18">
        <v>129400.66</v>
      </c>
      <c r="I234" s="18">
        <v>31408.54</v>
      </c>
      <c r="J234" s="18">
        <v>1708.89</v>
      </c>
      <c r="K234" s="18">
        <v>125</v>
      </c>
      <c r="L234" s="19">
        <f>SUM(F234:K234)</f>
        <v>964908.85000000009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262773</v>
      </c>
      <c r="G235" s="18">
        <v>126809.36</v>
      </c>
      <c r="H235" s="18">
        <v>70720.7</v>
      </c>
      <c r="I235" s="18">
        <v>16901.04</v>
      </c>
      <c r="J235" s="18">
        <v>585</v>
      </c>
      <c r="K235" s="18">
        <v>34510.49</v>
      </c>
      <c r="L235" s="19">
        <f>SUM(F235:K235)</f>
        <v>512299.58999999997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399027.37</v>
      </c>
      <c r="G237" s="18">
        <v>192855.9</v>
      </c>
      <c r="H237" s="18">
        <v>298751.43</v>
      </c>
      <c r="I237" s="18">
        <v>2951.32</v>
      </c>
      <c r="J237" s="18">
        <v>235</v>
      </c>
      <c r="K237" s="18">
        <v>2100</v>
      </c>
      <c r="L237" s="19">
        <f t="shared" ref="L237:L243" si="4">SUM(F237:K237)</f>
        <v>895921.0199999999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89856.12</v>
      </c>
      <c r="G238" s="18">
        <v>72711.789999999994</v>
      </c>
      <c r="H238" s="18">
        <v>14185.99</v>
      </c>
      <c r="I238" s="18">
        <v>25655.360000000001</v>
      </c>
      <c r="J238" s="18">
        <v>1110.05</v>
      </c>
      <c r="K238" s="18"/>
      <c r="L238" s="19">
        <f t="shared" si="4"/>
        <v>203519.30999999994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3552.95</v>
      </c>
      <c r="G239" s="18">
        <v>2641.86</v>
      </c>
      <c r="H239" s="18">
        <v>291226.55</v>
      </c>
      <c r="I239" s="18">
        <v>814.49</v>
      </c>
      <c r="J239" s="18"/>
      <c r="K239" s="18">
        <v>2986.94</v>
      </c>
      <c r="L239" s="19">
        <f t="shared" si="4"/>
        <v>301222.78999999998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443753.58</v>
      </c>
      <c r="G240" s="18">
        <v>222966.79</v>
      </c>
      <c r="H240" s="18">
        <v>37537.379999999997</v>
      </c>
      <c r="I240" s="18">
        <v>15885.48</v>
      </c>
      <c r="J240" s="18">
        <v>3489.07</v>
      </c>
      <c r="K240" s="18">
        <v>20167.11</v>
      </c>
      <c r="L240" s="19">
        <f t="shared" si="4"/>
        <v>743799.40999999992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303306.59999999998</v>
      </c>
      <c r="G242" s="18">
        <v>147944.25</v>
      </c>
      <c r="H242" s="18">
        <v>186830.84</v>
      </c>
      <c r="I242" s="18">
        <v>203824.27</v>
      </c>
      <c r="J242" s="18">
        <v>48625.22</v>
      </c>
      <c r="K242" s="18"/>
      <c r="L242" s="19">
        <f t="shared" si="4"/>
        <v>890531.17999999993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237810.34</v>
      </c>
      <c r="I243" s="18"/>
      <c r="J243" s="18"/>
      <c r="K243" s="18"/>
      <c r="L243" s="19">
        <f t="shared" si="4"/>
        <v>237810.34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5465071.2400000002</v>
      </c>
      <c r="G246" s="41">
        <f t="shared" si="5"/>
        <v>2681279.65</v>
      </c>
      <c r="H246" s="41">
        <f t="shared" si="5"/>
        <v>1732468.7</v>
      </c>
      <c r="I246" s="41">
        <f t="shared" si="5"/>
        <v>411191.36</v>
      </c>
      <c r="J246" s="41">
        <f t="shared" si="5"/>
        <v>161605.26</v>
      </c>
      <c r="K246" s="41">
        <f t="shared" si="5"/>
        <v>62388.35</v>
      </c>
      <c r="L246" s="41">
        <f t="shared" si="5"/>
        <v>10514004.559999999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630108.78</v>
      </c>
      <c r="I254" s="18"/>
      <c r="J254" s="18"/>
      <c r="K254" s="18"/>
      <c r="L254" s="19">
        <f t="shared" si="6"/>
        <v>630108.78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630108.78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630108.78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11138238.540000003</v>
      </c>
      <c r="G256" s="41">
        <f t="shared" si="8"/>
        <v>5680843.3299999991</v>
      </c>
      <c r="H256" s="41">
        <f t="shared" si="8"/>
        <v>4451859.4300000006</v>
      </c>
      <c r="I256" s="41">
        <f t="shared" si="8"/>
        <v>661847.62</v>
      </c>
      <c r="J256" s="41">
        <f t="shared" si="8"/>
        <v>264055.51</v>
      </c>
      <c r="K256" s="41">
        <f t="shared" si="8"/>
        <v>70245.23</v>
      </c>
      <c r="L256" s="41">
        <f t="shared" si="8"/>
        <v>22267089.66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620700</v>
      </c>
      <c r="L259" s="19">
        <f>SUM(F259:K259)</f>
        <v>620700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85616.88</v>
      </c>
      <c r="L260" s="19">
        <f>SUM(F260:K260)</f>
        <v>85616.88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2848.24</v>
      </c>
      <c r="L262" s="19">
        <f>SUM(F262:K262)</f>
        <v>2848.24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175000</v>
      </c>
      <c r="L265" s="19">
        <f t="shared" si="9"/>
        <v>175000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70507.58</v>
      </c>
      <c r="L267" s="19">
        <f t="shared" si="9"/>
        <v>70507.58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954672.7</v>
      </c>
      <c r="L269" s="41">
        <f t="shared" si="9"/>
        <v>954672.7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11138238.540000003</v>
      </c>
      <c r="G270" s="42">
        <f t="shared" si="11"/>
        <v>5680843.3299999991</v>
      </c>
      <c r="H270" s="42">
        <f t="shared" si="11"/>
        <v>4451859.4300000006</v>
      </c>
      <c r="I270" s="42">
        <f t="shared" si="11"/>
        <v>661847.62</v>
      </c>
      <c r="J270" s="42">
        <f t="shared" si="11"/>
        <v>264055.51</v>
      </c>
      <c r="K270" s="42">
        <f t="shared" si="11"/>
        <v>1024917.9299999999</v>
      </c>
      <c r="L270" s="42">
        <f t="shared" si="11"/>
        <v>23221762.359999999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252908.1</v>
      </c>
      <c r="G275" s="18">
        <v>25606.43</v>
      </c>
      <c r="H275" s="18">
        <v>96029</v>
      </c>
      <c r="I275" s="18">
        <v>65459.81</v>
      </c>
      <c r="J275" s="18">
        <v>8800.0400000000009</v>
      </c>
      <c r="K275" s="18"/>
      <c r="L275" s="19">
        <f>SUM(F275:K275)</f>
        <v>448803.38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/>
      <c r="H276" s="18">
        <v>0</v>
      </c>
      <c r="I276" s="18">
        <v>0</v>
      </c>
      <c r="J276" s="18">
        <v>0</v>
      </c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6000</v>
      </c>
      <c r="G280" s="18">
        <v>880.32</v>
      </c>
      <c r="H280" s="18"/>
      <c r="I280" s="18"/>
      <c r="J280" s="18"/>
      <c r="K280" s="18"/>
      <c r="L280" s="19">
        <f t="shared" ref="L280:L286" si="12">SUM(F280:K280)</f>
        <v>6880.32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9179.9599999999991</v>
      </c>
      <c r="L282" s="19">
        <f t="shared" si="12"/>
        <v>9179.9599999999991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258908.1</v>
      </c>
      <c r="G289" s="42">
        <f t="shared" si="13"/>
        <v>26486.75</v>
      </c>
      <c r="H289" s="42">
        <f t="shared" si="13"/>
        <v>96029</v>
      </c>
      <c r="I289" s="42">
        <f t="shared" si="13"/>
        <v>65459.81</v>
      </c>
      <c r="J289" s="42">
        <f t="shared" si="13"/>
        <v>8800.0400000000009</v>
      </c>
      <c r="K289" s="42">
        <f t="shared" si="13"/>
        <v>9179.9599999999991</v>
      </c>
      <c r="L289" s="41">
        <f t="shared" si="13"/>
        <v>464863.66000000003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/>
      <c r="I314" s="18">
        <v>0</v>
      </c>
      <c r="J314" s="18">
        <v>0</v>
      </c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22825</v>
      </c>
      <c r="G316" s="18">
        <v>3728.23</v>
      </c>
      <c r="H316" s="18">
        <v>400</v>
      </c>
      <c r="I316" s="18">
        <v>1552.11</v>
      </c>
      <c r="J316" s="18">
        <v>1000</v>
      </c>
      <c r="K316" s="18"/>
      <c r="L316" s="19">
        <f>SUM(F316:K316)</f>
        <v>29505.34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0</v>
      </c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22825</v>
      </c>
      <c r="G327" s="42">
        <f t="shared" si="17"/>
        <v>3728.23</v>
      </c>
      <c r="H327" s="42">
        <f t="shared" si="17"/>
        <v>400</v>
      </c>
      <c r="I327" s="42">
        <f t="shared" si="17"/>
        <v>1552.11</v>
      </c>
      <c r="J327" s="42">
        <f t="shared" si="17"/>
        <v>1000</v>
      </c>
      <c r="K327" s="42">
        <f t="shared" si="17"/>
        <v>0</v>
      </c>
      <c r="L327" s="41">
        <f t="shared" si="17"/>
        <v>29505.34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281733.09999999998</v>
      </c>
      <c r="G337" s="41">
        <f t="shared" si="20"/>
        <v>30214.98</v>
      </c>
      <c r="H337" s="41">
        <f t="shared" si="20"/>
        <v>96429</v>
      </c>
      <c r="I337" s="41">
        <f t="shared" si="20"/>
        <v>67011.92</v>
      </c>
      <c r="J337" s="41">
        <f t="shared" si="20"/>
        <v>9800.0400000000009</v>
      </c>
      <c r="K337" s="41">
        <f t="shared" si="20"/>
        <v>9179.9599999999991</v>
      </c>
      <c r="L337" s="41">
        <f t="shared" si="20"/>
        <v>494369.00000000006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281733.09999999998</v>
      </c>
      <c r="G351" s="41">
        <f>G337</f>
        <v>30214.98</v>
      </c>
      <c r="H351" s="41">
        <f>H337</f>
        <v>96429</v>
      </c>
      <c r="I351" s="41">
        <f>I337</f>
        <v>67011.92</v>
      </c>
      <c r="J351" s="41">
        <f>J337</f>
        <v>9800.0400000000009</v>
      </c>
      <c r="K351" s="47">
        <f>K337+K350</f>
        <v>9179.9599999999991</v>
      </c>
      <c r="L351" s="41">
        <f>L337+L350</f>
        <v>494369.00000000006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121688.18</v>
      </c>
      <c r="G357" s="18">
        <v>43682.73</v>
      </c>
      <c r="H357" s="18">
        <v>10926.23</v>
      </c>
      <c r="I357" s="18">
        <v>135506.67000000001</v>
      </c>
      <c r="J357" s="18">
        <v>4599.3999999999996</v>
      </c>
      <c r="K357" s="18">
        <v>327.04000000000002</v>
      </c>
      <c r="L357" s="13">
        <f>SUM(F357:K357)</f>
        <v>316730.25000000006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148730</v>
      </c>
      <c r="G359" s="18">
        <v>53390.01</v>
      </c>
      <c r="H359" s="18">
        <v>13354.29</v>
      </c>
      <c r="I359" s="18">
        <v>165619.26</v>
      </c>
      <c r="J359" s="18">
        <v>5621.48</v>
      </c>
      <c r="K359" s="18">
        <v>399.71</v>
      </c>
      <c r="L359" s="19">
        <f>SUM(F359:K359)</f>
        <v>387114.75000000006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270418.18</v>
      </c>
      <c r="G361" s="47">
        <f t="shared" si="22"/>
        <v>97072.74</v>
      </c>
      <c r="H361" s="47">
        <f t="shared" si="22"/>
        <v>24280.52</v>
      </c>
      <c r="I361" s="47">
        <f t="shared" si="22"/>
        <v>301125.93000000005</v>
      </c>
      <c r="J361" s="47">
        <f t="shared" si="22"/>
        <v>10220.879999999999</v>
      </c>
      <c r="K361" s="47">
        <f t="shared" si="22"/>
        <v>726.75</v>
      </c>
      <c r="L361" s="47">
        <f t="shared" si="22"/>
        <v>703845.00000000012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127263.51</v>
      </c>
      <c r="G366" s="18"/>
      <c r="H366" s="18">
        <v>155544.28</v>
      </c>
      <c r="I366" s="56">
        <f>SUM(F366:H366)</f>
        <v>282807.78999999998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8243.16</v>
      </c>
      <c r="G367" s="63"/>
      <c r="H367" s="63">
        <v>10074.98</v>
      </c>
      <c r="I367" s="56">
        <f>SUM(F367:H367)</f>
        <v>18318.14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135506.66999999998</v>
      </c>
      <c r="G368" s="47">
        <f>SUM(G366:G367)</f>
        <v>0</v>
      </c>
      <c r="H368" s="47">
        <f>SUM(H366:H367)</f>
        <v>165619.26</v>
      </c>
      <c r="I368" s="47">
        <f>SUM(I366:I367)</f>
        <v>301125.93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130888.1</v>
      </c>
      <c r="I374" s="18"/>
      <c r="J374" s="18"/>
      <c r="K374" s="18"/>
      <c r="L374" s="13">
        <f t="shared" ref="L374:L380" si="23">SUM(F374:K374)</f>
        <v>130888.1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605.95000000000005</v>
      </c>
      <c r="L380" s="13">
        <f t="shared" si="23"/>
        <v>605.95000000000005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130888.1</v>
      </c>
      <c r="I381" s="41">
        <f t="shared" si="24"/>
        <v>0</v>
      </c>
      <c r="J381" s="47">
        <f t="shared" si="24"/>
        <v>0</v>
      </c>
      <c r="K381" s="47">
        <f t="shared" si="24"/>
        <v>605.95000000000005</v>
      </c>
      <c r="L381" s="47">
        <f t="shared" si="24"/>
        <v>131494.05000000002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100000</v>
      </c>
      <c r="H388" s="18">
        <v>69.599999999999994</v>
      </c>
      <c r="I388" s="18"/>
      <c r="J388" s="24" t="s">
        <v>289</v>
      </c>
      <c r="K388" s="24" t="s">
        <v>289</v>
      </c>
      <c r="L388" s="56">
        <f t="shared" si="25"/>
        <v>100069.6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69.599999999999994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100069.6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91.86</v>
      </c>
      <c r="I396" s="18"/>
      <c r="J396" s="24" t="s">
        <v>289</v>
      </c>
      <c r="K396" s="24" t="s">
        <v>289</v>
      </c>
      <c r="L396" s="56">
        <f t="shared" si="26"/>
        <v>91.86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75000</v>
      </c>
      <c r="H399" s="18">
        <v>72.709999999999994</v>
      </c>
      <c r="I399" s="18"/>
      <c r="J399" s="24" t="s">
        <v>289</v>
      </c>
      <c r="K399" s="24" t="s">
        <v>289</v>
      </c>
      <c r="L399" s="56">
        <f t="shared" si="26"/>
        <v>75072.710000000006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164.57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75164.570000000007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175000</v>
      </c>
      <c r="H407" s="47">
        <f>H392+H400+H406</f>
        <v>234.17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175234.17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49497</v>
      </c>
      <c r="L414" s="56">
        <f t="shared" si="27"/>
        <v>49497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49497</v>
      </c>
      <c r="L418" s="47">
        <f t="shared" si="28"/>
        <v>49497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50222</v>
      </c>
      <c r="L425" s="56">
        <f t="shared" si="29"/>
        <v>50222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50222</v>
      </c>
      <c r="L426" s="47">
        <f t="shared" si="30"/>
        <v>50222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99719</v>
      </c>
      <c r="L433" s="47">
        <f t="shared" si="32"/>
        <v>99719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259746.47</v>
      </c>
      <c r="G438" s="18">
        <v>567044.74</v>
      </c>
      <c r="H438" s="18"/>
      <c r="I438" s="56">
        <f t="shared" ref="I438:I444" si="33">SUM(F438:H438)</f>
        <v>826791.21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259746.47</v>
      </c>
      <c r="G445" s="13">
        <f>SUM(G438:G444)</f>
        <v>567044.74</v>
      </c>
      <c r="H445" s="13">
        <f>SUM(H438:H444)</f>
        <v>0</v>
      </c>
      <c r="I445" s="13">
        <f>SUM(I438:I444)</f>
        <v>826791.21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259746.47</v>
      </c>
      <c r="G458" s="18">
        <v>567044.74</v>
      </c>
      <c r="H458" s="18"/>
      <c r="I458" s="56">
        <f t="shared" si="34"/>
        <v>826791.21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259746.47</v>
      </c>
      <c r="G459" s="83">
        <f>SUM(G453:G458)</f>
        <v>567044.74</v>
      </c>
      <c r="H459" s="83">
        <f>SUM(H453:H458)</f>
        <v>0</v>
      </c>
      <c r="I459" s="83">
        <f>SUM(I453:I458)</f>
        <v>826791.21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259746.47</v>
      </c>
      <c r="G460" s="42">
        <f>G451+G459</f>
        <v>567044.74</v>
      </c>
      <c r="H460" s="42">
        <f>H451+H459</f>
        <v>0</v>
      </c>
      <c r="I460" s="42">
        <f>I451+I459</f>
        <v>826791.21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368190.49</v>
      </c>
      <c r="G464" s="18">
        <v>186566.08</v>
      </c>
      <c r="H464" s="18">
        <v>0</v>
      </c>
      <c r="I464" s="18">
        <v>131494.04999999999</v>
      </c>
      <c r="J464" s="18">
        <v>751276.04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23340361.469999999</v>
      </c>
      <c r="G467" s="18">
        <v>652366.16</v>
      </c>
      <c r="H467" s="18">
        <v>494369</v>
      </c>
      <c r="I467" s="18"/>
      <c r="J467" s="18">
        <v>175234.17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23340361.469999999</v>
      </c>
      <c r="G469" s="53">
        <f>SUM(G467:G468)</f>
        <v>652366.16</v>
      </c>
      <c r="H469" s="53">
        <f>SUM(H467:H468)</f>
        <v>494369</v>
      </c>
      <c r="I469" s="53">
        <f>SUM(I467:I468)</f>
        <v>0</v>
      </c>
      <c r="J469" s="53">
        <f>SUM(J467:J468)</f>
        <v>175234.17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23221762.359999999</v>
      </c>
      <c r="G471" s="18">
        <v>703845</v>
      </c>
      <c r="H471" s="18">
        <v>494369</v>
      </c>
      <c r="I471" s="18">
        <v>131494.04999999999</v>
      </c>
      <c r="J471" s="18">
        <v>99719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23221762.359999999</v>
      </c>
      <c r="G473" s="53">
        <f>SUM(G471:G472)</f>
        <v>703845</v>
      </c>
      <c r="H473" s="53">
        <f>SUM(H471:H472)</f>
        <v>494369</v>
      </c>
      <c r="I473" s="53">
        <f>SUM(I471:I472)</f>
        <v>131494.04999999999</v>
      </c>
      <c r="J473" s="53">
        <f>SUM(J471:J472)</f>
        <v>99719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486789.59999999776</v>
      </c>
      <c r="G475" s="53">
        <f>(G464+G469)- G473</f>
        <v>135087.24</v>
      </c>
      <c r="H475" s="53">
        <f>(H464+H469)- H473</f>
        <v>0</v>
      </c>
      <c r="I475" s="53">
        <f>(I464+I469)- I473</f>
        <v>0</v>
      </c>
      <c r="J475" s="53">
        <f>(J464+J469)- J473</f>
        <v>826791.21000000008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>
        <v>15</v>
      </c>
      <c r="H489" s="154">
        <v>15</v>
      </c>
      <c r="I489" s="154">
        <v>15</v>
      </c>
      <c r="J489" s="154">
        <v>10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 t="s">
        <v>912</v>
      </c>
      <c r="I490" s="155" t="s">
        <v>915</v>
      </c>
      <c r="J490" s="155" t="s">
        <v>917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 t="s">
        <v>914</v>
      </c>
      <c r="I491" s="155" t="s">
        <v>916</v>
      </c>
      <c r="J491" s="155" t="s">
        <v>918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8445000</v>
      </c>
      <c r="G492" s="18">
        <v>360109</v>
      </c>
      <c r="H492" s="18">
        <v>2459891</v>
      </c>
      <c r="I492" s="18">
        <v>3600000</v>
      </c>
      <c r="J492" s="18">
        <v>465700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4.25</v>
      </c>
      <c r="G493" s="18">
        <v>4.68</v>
      </c>
      <c r="H493" s="18">
        <v>4.3</v>
      </c>
      <c r="I493" s="18">
        <v>1.65</v>
      </c>
      <c r="J493" s="18">
        <v>2.34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1545000</v>
      </c>
      <c r="G494" s="18">
        <v>286780.38</v>
      </c>
      <c r="H494" s="18">
        <v>1947453.37</v>
      </c>
      <c r="I494" s="18">
        <v>3360000</v>
      </c>
      <c r="J494" s="18">
        <v>465700</v>
      </c>
      <c r="K494" s="53">
        <f>SUM(F494:J494)</f>
        <v>7604933.75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575000</v>
      </c>
      <c r="G496" s="18">
        <v>20526.04</v>
      </c>
      <c r="H496" s="18">
        <v>142170.93</v>
      </c>
      <c r="I496" s="18">
        <v>240000</v>
      </c>
      <c r="J496" s="18">
        <v>45700</v>
      </c>
      <c r="K496" s="53">
        <f t="shared" si="35"/>
        <v>1023396.97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970000</v>
      </c>
      <c r="G497" s="204">
        <v>266254.34000000003</v>
      </c>
      <c r="H497" s="204">
        <v>1805282.44</v>
      </c>
      <c r="I497" s="204">
        <v>3120000</v>
      </c>
      <c r="J497" s="204">
        <v>420000</v>
      </c>
      <c r="K497" s="205">
        <f t="shared" si="35"/>
        <v>6581536.7800000003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60425.760000000002</v>
      </c>
      <c r="G498" s="18">
        <v>73219.28</v>
      </c>
      <c r="H498" s="18">
        <v>453831.79</v>
      </c>
      <c r="I498" s="18">
        <v>360360</v>
      </c>
      <c r="J498" s="18">
        <v>87600</v>
      </c>
      <c r="K498" s="53">
        <f t="shared" si="35"/>
        <v>1035436.83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1030425.76</v>
      </c>
      <c r="G499" s="42">
        <f>SUM(G497:G498)</f>
        <v>339473.62</v>
      </c>
      <c r="H499" s="42">
        <f>SUM(H497:H498)</f>
        <v>2259114.23</v>
      </c>
      <c r="I499" s="42">
        <f>SUM(I497:I498)</f>
        <v>3480360</v>
      </c>
      <c r="J499" s="42">
        <f>SUM(J497:J498)</f>
        <v>507600</v>
      </c>
      <c r="K499" s="42">
        <f t="shared" si="35"/>
        <v>7616973.6099999994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575000</v>
      </c>
      <c r="G500" s="204">
        <v>21486.66</v>
      </c>
      <c r="H500" s="204">
        <v>148284.28</v>
      </c>
      <c r="I500" s="204">
        <v>240000</v>
      </c>
      <c r="J500" s="204">
        <v>50000</v>
      </c>
      <c r="K500" s="205">
        <f t="shared" si="35"/>
        <v>1034770.9400000001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40519.129999999997</v>
      </c>
      <c r="G501" s="18">
        <v>12460.7</v>
      </c>
      <c r="H501" s="18">
        <v>77627.14</v>
      </c>
      <c r="I501" s="18">
        <v>51480</v>
      </c>
      <c r="J501" s="18">
        <v>17700</v>
      </c>
      <c r="K501" s="53">
        <f t="shared" si="35"/>
        <v>199786.97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615519.13</v>
      </c>
      <c r="G502" s="42">
        <f>SUM(G500:G501)</f>
        <v>33947.360000000001</v>
      </c>
      <c r="H502" s="42">
        <f>SUM(H500:H501)</f>
        <v>225911.41999999998</v>
      </c>
      <c r="I502" s="42">
        <f>SUM(I500:I501)</f>
        <v>291480</v>
      </c>
      <c r="J502" s="42">
        <f>SUM(J500:J501)</f>
        <v>67700</v>
      </c>
      <c r="K502" s="42">
        <f t="shared" si="35"/>
        <v>1234557.9099999999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114262.44</v>
      </c>
      <c r="G506" s="144"/>
      <c r="H506" s="144">
        <v>4917.47</v>
      </c>
      <c r="I506" s="144">
        <v>109344.97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1265363.47</v>
      </c>
      <c r="G520" s="18">
        <v>660040.01</v>
      </c>
      <c r="H520" s="18">
        <v>695498.15</v>
      </c>
      <c r="I520" s="18">
        <v>8705.41</v>
      </c>
      <c r="J520" s="18">
        <v>21663.07</v>
      </c>
      <c r="K520" s="18">
        <v>749</v>
      </c>
      <c r="L520" s="88">
        <f>SUM(F520:K520)</f>
        <v>2652019.11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769393.17</v>
      </c>
      <c r="G522" s="18">
        <v>372502.49</v>
      </c>
      <c r="H522" s="18">
        <v>418962.66</v>
      </c>
      <c r="I522" s="18">
        <v>10214.85</v>
      </c>
      <c r="J522" s="18">
        <v>1056.07</v>
      </c>
      <c r="K522" s="18">
        <v>895</v>
      </c>
      <c r="L522" s="88">
        <f>SUM(F522:K522)</f>
        <v>1573024.2400000002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2034756.6400000001</v>
      </c>
      <c r="G523" s="108">
        <f t="shared" ref="G523:L523" si="36">SUM(G520:G522)</f>
        <v>1032542.5</v>
      </c>
      <c r="H523" s="108">
        <f t="shared" si="36"/>
        <v>1114460.81</v>
      </c>
      <c r="I523" s="108">
        <f t="shared" si="36"/>
        <v>18920.260000000002</v>
      </c>
      <c r="J523" s="108">
        <f t="shared" si="36"/>
        <v>22719.14</v>
      </c>
      <c r="K523" s="108">
        <f t="shared" si="36"/>
        <v>1644</v>
      </c>
      <c r="L523" s="89">
        <f t="shared" si="36"/>
        <v>4225043.3499999996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413458.39</v>
      </c>
      <c r="I525" s="18"/>
      <c r="J525" s="18"/>
      <c r="K525" s="18"/>
      <c r="L525" s="88">
        <f>SUM(F525:K525)</f>
        <v>413458.39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288631.7</v>
      </c>
      <c r="I527" s="18"/>
      <c r="J527" s="18"/>
      <c r="K527" s="18"/>
      <c r="L527" s="88">
        <f>SUM(F527:K527)</f>
        <v>288631.7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702090.09000000008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702090.09000000008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26633.599999999999</v>
      </c>
      <c r="G530" s="18">
        <v>16053.14</v>
      </c>
      <c r="H530" s="18">
        <v>2314.61</v>
      </c>
      <c r="I530" s="18"/>
      <c r="J530" s="18"/>
      <c r="K530" s="18"/>
      <c r="L530" s="88">
        <f>SUM(F530:K530)</f>
        <v>45001.35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6658.4</v>
      </c>
      <c r="G532" s="18">
        <v>4013.29</v>
      </c>
      <c r="H532" s="18">
        <v>578.65</v>
      </c>
      <c r="I532" s="18"/>
      <c r="J532" s="18"/>
      <c r="K532" s="18"/>
      <c r="L532" s="88">
        <f>SUM(F532:K532)</f>
        <v>11250.339999999998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33292</v>
      </c>
      <c r="G533" s="89">
        <f t="shared" ref="G533:L533" si="38">SUM(G530:G532)</f>
        <v>20066.43</v>
      </c>
      <c r="H533" s="89">
        <f t="shared" si="38"/>
        <v>2893.26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56251.689999999995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167966.41</v>
      </c>
      <c r="I540" s="18"/>
      <c r="J540" s="18"/>
      <c r="K540" s="18"/>
      <c r="L540" s="88">
        <f>SUM(F540:K540)</f>
        <v>167966.41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144032.91</v>
      </c>
      <c r="I542" s="18"/>
      <c r="J542" s="18"/>
      <c r="K542" s="18"/>
      <c r="L542" s="88">
        <f>SUM(F542:K542)</f>
        <v>144032.91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311999.32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311999.32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2068048.6400000001</v>
      </c>
      <c r="G544" s="89">
        <f t="shared" ref="G544:L544" si="41">G523+G528+G533+G538+G543</f>
        <v>1052608.93</v>
      </c>
      <c r="H544" s="89">
        <f t="shared" si="41"/>
        <v>2131443.48</v>
      </c>
      <c r="I544" s="89">
        <f t="shared" si="41"/>
        <v>18920.260000000002</v>
      </c>
      <c r="J544" s="89">
        <f t="shared" si="41"/>
        <v>22719.14</v>
      </c>
      <c r="K544" s="89">
        <f t="shared" si="41"/>
        <v>1644</v>
      </c>
      <c r="L544" s="89">
        <f t="shared" si="41"/>
        <v>5295384.45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2652019.11</v>
      </c>
      <c r="G548" s="87">
        <f>L525</f>
        <v>413458.39</v>
      </c>
      <c r="H548" s="87">
        <f>L530</f>
        <v>45001.35</v>
      </c>
      <c r="I548" s="87">
        <f>L535</f>
        <v>0</v>
      </c>
      <c r="J548" s="87">
        <f>L540</f>
        <v>167966.41</v>
      </c>
      <c r="K548" s="87">
        <f>SUM(F548:J548)</f>
        <v>3278445.2600000002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1573024.2400000002</v>
      </c>
      <c r="G550" s="87">
        <f>L527</f>
        <v>288631.7</v>
      </c>
      <c r="H550" s="87">
        <f>L532</f>
        <v>11250.339999999998</v>
      </c>
      <c r="I550" s="87">
        <f>L537</f>
        <v>0</v>
      </c>
      <c r="J550" s="87">
        <f>L542</f>
        <v>144032.91</v>
      </c>
      <c r="K550" s="87">
        <f>SUM(F550:J550)</f>
        <v>2016939.1900000002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4225043.3499999996</v>
      </c>
      <c r="G551" s="89">
        <f t="shared" si="42"/>
        <v>702090.09000000008</v>
      </c>
      <c r="H551" s="89">
        <f t="shared" si="42"/>
        <v>56251.689999999995</v>
      </c>
      <c r="I551" s="89">
        <f t="shared" si="42"/>
        <v>0</v>
      </c>
      <c r="J551" s="89">
        <f t="shared" si="42"/>
        <v>311999.32</v>
      </c>
      <c r="K551" s="89">
        <f t="shared" si="42"/>
        <v>5295384.45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5704.07</v>
      </c>
      <c r="I561" s="18"/>
      <c r="J561" s="18"/>
      <c r="K561" s="18"/>
      <c r="L561" s="88">
        <f>SUM(F561:K561)</f>
        <v>5704.07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15753.34</v>
      </c>
      <c r="G563" s="18">
        <v>7609.19</v>
      </c>
      <c r="H563" s="18">
        <v>3977.04</v>
      </c>
      <c r="I563" s="18"/>
      <c r="J563" s="18"/>
      <c r="K563" s="18"/>
      <c r="L563" s="88">
        <f>SUM(F563:K563)</f>
        <v>27339.57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15753.34</v>
      </c>
      <c r="G564" s="89">
        <f t="shared" si="44"/>
        <v>7609.19</v>
      </c>
      <c r="H564" s="89">
        <f t="shared" si="44"/>
        <v>9681.11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33043.64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15753.34</v>
      </c>
      <c r="G570" s="89">
        <f t="shared" ref="G570:L570" si="46">G559+G564+G569</f>
        <v>7609.19</v>
      </c>
      <c r="H570" s="89">
        <f t="shared" si="46"/>
        <v>9681.11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33043.64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4016</v>
      </c>
      <c r="I574" s="87">
        <f>SUM(F574:H574)</f>
        <v>4016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298471.09000000003</v>
      </c>
      <c r="G578" s="18"/>
      <c r="H578" s="18">
        <v>154399.45000000001</v>
      </c>
      <c r="I578" s="87">
        <f t="shared" si="47"/>
        <v>452870.54000000004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80347.47</v>
      </c>
      <c r="G581" s="18"/>
      <c r="H581" s="18">
        <v>1700</v>
      </c>
      <c r="I581" s="87">
        <f t="shared" si="47"/>
        <v>82047.47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316120.42</v>
      </c>
      <c r="G582" s="18"/>
      <c r="H582" s="18">
        <v>259314.58</v>
      </c>
      <c r="I582" s="87">
        <f t="shared" si="47"/>
        <v>575435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55526.25</v>
      </c>
      <c r="I583" s="87">
        <f t="shared" si="47"/>
        <v>55526.25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274144</v>
      </c>
      <c r="I590" s="18"/>
      <c r="J590" s="18"/>
      <c r="K590" s="104">
        <f t="shared" ref="K590:K596" si="48">SUM(H590:J590)</f>
        <v>274144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167966.41</v>
      </c>
      <c r="I591" s="18"/>
      <c r="J591" s="18">
        <v>144032.91</v>
      </c>
      <c r="K591" s="104">
        <f t="shared" si="48"/>
        <v>311999.32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50228.07</v>
      </c>
      <c r="K592" s="104">
        <f t="shared" si="48"/>
        <v>50228.07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2668.95</v>
      </c>
      <c r="I593" s="18"/>
      <c r="J593" s="18">
        <v>40307.72</v>
      </c>
      <c r="K593" s="104">
        <f t="shared" si="48"/>
        <v>42976.67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/>
      <c r="J594" s="18">
        <v>3241.64</v>
      </c>
      <c r="K594" s="104">
        <f t="shared" si="48"/>
        <v>3241.64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444779.36000000004</v>
      </c>
      <c r="I597" s="108">
        <f>SUM(I590:I596)</f>
        <v>0</v>
      </c>
      <c r="J597" s="108">
        <f>SUM(J590:J596)</f>
        <v>237810.34000000003</v>
      </c>
      <c r="K597" s="108">
        <f>SUM(K590:K596)</f>
        <v>682589.70000000007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111250.29</v>
      </c>
      <c r="I603" s="18"/>
      <c r="J603" s="18">
        <v>162605.26</v>
      </c>
      <c r="K603" s="104">
        <f>SUM(H603:J603)</f>
        <v>273855.55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111250.29</v>
      </c>
      <c r="I604" s="108">
        <f>SUM(I601:I603)</f>
        <v>0</v>
      </c>
      <c r="J604" s="108">
        <f>SUM(J601:J603)</f>
        <v>162605.26</v>
      </c>
      <c r="K604" s="108">
        <f>SUM(K601:K603)</f>
        <v>273855.55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1683406.75</v>
      </c>
      <c r="H616" s="109">
        <f>SUM(F51)</f>
        <v>1683406.75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142432.61000000002</v>
      </c>
      <c r="H617" s="109">
        <f>SUM(G51)</f>
        <v>142432.60999999999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44227.43</v>
      </c>
      <c r="H618" s="109">
        <f>SUM(H51)</f>
        <v>44227.43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1089.07</v>
      </c>
      <c r="H619" s="109">
        <f>SUM(I51)</f>
        <v>1089.07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826791.21</v>
      </c>
      <c r="H620" s="109">
        <f>SUM(J51)</f>
        <v>826791.21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486789.6</v>
      </c>
      <c r="H621" s="109">
        <f>F475</f>
        <v>486789.59999999776</v>
      </c>
      <c r="I621" s="121" t="s">
        <v>101</v>
      </c>
      <c r="J621" s="109">
        <f t="shared" ref="J621:J654" si="50">G621-H621</f>
        <v>2.2118911147117615E-9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135087.24</v>
      </c>
      <c r="H622" s="109">
        <f>G475</f>
        <v>135087.24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826791.21</v>
      </c>
      <c r="H625" s="109">
        <f>J475</f>
        <v>826791.21000000008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23340361.470000003</v>
      </c>
      <c r="H626" s="104">
        <f>SUM(F467)</f>
        <v>23340361.469999999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652366.15999999992</v>
      </c>
      <c r="H627" s="104">
        <f>SUM(G467)</f>
        <v>652366.16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494369</v>
      </c>
      <c r="H628" s="104">
        <f>SUM(H467)</f>
        <v>494369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175234.17</v>
      </c>
      <c r="H630" s="104">
        <f>SUM(J467)</f>
        <v>175234.17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23221762.359999999</v>
      </c>
      <c r="H631" s="104">
        <f>SUM(F471)</f>
        <v>23221762.359999999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494369.00000000006</v>
      </c>
      <c r="H632" s="104">
        <f>SUM(H471)</f>
        <v>494369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301125.93000000005</v>
      </c>
      <c r="H633" s="104">
        <f>I368</f>
        <v>301125.93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703845.00000000012</v>
      </c>
      <c r="H634" s="104">
        <f>SUM(G471)</f>
        <v>703845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131494.05000000002</v>
      </c>
      <c r="H635" s="104">
        <f>SUM(I471)</f>
        <v>131494.04999999999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175234.17</v>
      </c>
      <c r="H636" s="164">
        <f>SUM(J467)</f>
        <v>175234.17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99719</v>
      </c>
      <c r="H637" s="164">
        <f>SUM(J471)</f>
        <v>99719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259746.47</v>
      </c>
      <c r="H638" s="104">
        <f>SUM(F460)</f>
        <v>259746.47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567044.74</v>
      </c>
      <c r="H639" s="104">
        <f>SUM(G460)</f>
        <v>567044.74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826791.21</v>
      </c>
      <c r="H641" s="104">
        <f>SUM(I460)</f>
        <v>826791.21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234.17</v>
      </c>
      <c r="H643" s="104">
        <f>H407</f>
        <v>234.17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175000</v>
      </c>
      <c r="H644" s="104">
        <f>G407</f>
        <v>175000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175234.17</v>
      </c>
      <c r="H645" s="104">
        <f>L407</f>
        <v>175234.17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682589.70000000007</v>
      </c>
      <c r="H646" s="104">
        <f>L207+L225+L243</f>
        <v>682589.7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273855.55</v>
      </c>
      <c r="H647" s="104">
        <f>(J256+J337)-(J254+J335)</f>
        <v>273855.55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444779.36</v>
      </c>
      <c r="H648" s="104">
        <f>H597</f>
        <v>444779.36000000004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237810.34</v>
      </c>
      <c r="H650" s="104">
        <f>J597</f>
        <v>237810.34000000003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2848.24</v>
      </c>
      <c r="H651" s="104">
        <f>K262+K344</f>
        <v>2848.24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175000</v>
      </c>
      <c r="H654" s="104">
        <f>K265+K346</f>
        <v>175000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11904570.23</v>
      </c>
      <c r="G659" s="19">
        <f>(L228+L308+L358)</f>
        <v>0</v>
      </c>
      <c r="H659" s="19">
        <f>(L246+L327+L359)</f>
        <v>10930624.649999999</v>
      </c>
      <c r="I659" s="19">
        <f>SUM(F659:H659)</f>
        <v>22835194.879999999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175866.35399999999</v>
      </c>
      <c r="G660" s="19">
        <f>(L358/IF(SUM(L357:L359)=0,1,SUM(L357:L359))*(SUM(G96:G109)))</f>
        <v>0</v>
      </c>
      <c r="H660" s="19">
        <f>(L359/IF(SUM(L357:L359)=0,1,SUM(L357:L359))*(SUM(G96:G109)))</f>
        <v>214947.766</v>
      </c>
      <c r="I660" s="19">
        <f>SUM(F660:H660)</f>
        <v>390814.12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444779.36</v>
      </c>
      <c r="G661" s="19">
        <f>(L225+L305)-(J225+J305)</f>
        <v>0</v>
      </c>
      <c r="H661" s="19">
        <f>(L243+L324)-(J243+J324)</f>
        <v>237810.34</v>
      </c>
      <c r="I661" s="19">
        <f>SUM(F661:H661)</f>
        <v>682589.7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806189.27</v>
      </c>
      <c r="G662" s="199">
        <f>SUM(G574:G586)+SUM(I601:I603)+L611</f>
        <v>0</v>
      </c>
      <c r="H662" s="199">
        <f>SUM(H574:H586)+SUM(J601:J603)+L612</f>
        <v>637561.54</v>
      </c>
      <c r="I662" s="19">
        <f>SUM(F662:H662)</f>
        <v>1443750.81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10477735.246000001</v>
      </c>
      <c r="G663" s="19">
        <f>G659-SUM(G660:G662)</f>
        <v>0</v>
      </c>
      <c r="H663" s="19">
        <f>H659-SUM(H660:H662)</f>
        <v>9840305.0039999988</v>
      </c>
      <c r="I663" s="19">
        <f>I659-SUM(I660:I662)</f>
        <v>20318040.25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777.03</v>
      </c>
      <c r="G664" s="248"/>
      <c r="H664" s="248">
        <v>866.85</v>
      </c>
      <c r="I664" s="19">
        <f>SUM(F664:H664)</f>
        <v>1643.88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13484.34</v>
      </c>
      <c r="G666" s="19" t="e">
        <f>ROUND(G663/G664,2)</f>
        <v>#DIV/0!</v>
      </c>
      <c r="H666" s="19">
        <f>ROUND(H663/H664,2)</f>
        <v>11351.8</v>
      </c>
      <c r="I666" s="19">
        <f>ROUND(I663/I664,2)</f>
        <v>12359.81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-23.34</v>
      </c>
      <c r="I669" s="19">
        <f>SUM(F669:H669)</f>
        <v>-23.34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13484.34</v>
      </c>
      <c r="G671" s="19" t="e">
        <f>ROUND((G663+G668)/(G664+G669),2)</f>
        <v>#DIV/0!</v>
      </c>
      <c r="H671" s="19">
        <f>ROUND((H663+H668)/(H664+H669),2)</f>
        <v>11665.9</v>
      </c>
      <c r="I671" s="19">
        <f>ROUND((I663+I668)/(I664+I669),2)</f>
        <v>12537.82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57" sqref="C5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Pembroke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6065174.1099999994</v>
      </c>
      <c r="C9" s="229">
        <f>'DOE25'!G196+'DOE25'!G214+'DOE25'!G232+'DOE25'!G275+'DOE25'!G294+'DOE25'!G313</f>
        <v>2955529.47</v>
      </c>
    </row>
    <row r="10" spans="1:3" x14ac:dyDescent="0.2">
      <c r="A10" t="s">
        <v>779</v>
      </c>
      <c r="B10" s="240">
        <v>5728575.5999999996</v>
      </c>
      <c r="C10" s="240">
        <v>2790019.82</v>
      </c>
    </row>
    <row r="11" spans="1:3" x14ac:dyDescent="0.2">
      <c r="A11" t="s">
        <v>780</v>
      </c>
      <c r="B11" s="240">
        <v>52105.67</v>
      </c>
      <c r="C11" s="240">
        <v>26599.77</v>
      </c>
    </row>
    <row r="12" spans="1:3" x14ac:dyDescent="0.2">
      <c r="A12" t="s">
        <v>781</v>
      </c>
      <c r="B12" s="240">
        <v>284492.84000000003</v>
      </c>
      <c r="C12" s="240">
        <v>138909.88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6065174.1099999994</v>
      </c>
      <c r="C13" s="231">
        <f>SUM(C10:C12)</f>
        <v>2955529.4699999997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2034756.6400000001</v>
      </c>
      <c r="C18" s="229">
        <f>'DOE25'!G197+'DOE25'!G215+'DOE25'!G233+'DOE25'!G276+'DOE25'!G295+'DOE25'!G314</f>
        <v>1032542.5</v>
      </c>
    </row>
    <row r="19" spans="1:3" x14ac:dyDescent="0.2">
      <c r="A19" t="s">
        <v>779</v>
      </c>
      <c r="B19" s="240">
        <v>987079.34</v>
      </c>
      <c r="C19" s="240">
        <v>501815.66</v>
      </c>
    </row>
    <row r="20" spans="1:3" x14ac:dyDescent="0.2">
      <c r="A20" t="s">
        <v>780</v>
      </c>
      <c r="B20" s="240">
        <v>900199.57</v>
      </c>
      <c r="C20" s="240">
        <v>456383.78</v>
      </c>
    </row>
    <row r="21" spans="1:3" x14ac:dyDescent="0.2">
      <c r="A21" t="s">
        <v>781</v>
      </c>
      <c r="B21" s="240">
        <v>147477.73000000001</v>
      </c>
      <c r="C21" s="240">
        <v>74343.06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2034756.64</v>
      </c>
      <c r="C22" s="231">
        <f>SUM(C19:C21)</f>
        <v>1032542.5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540721.46</v>
      </c>
      <c r="C27" s="234">
        <f>'DOE25'!G198+'DOE25'!G216+'DOE25'!G234+'DOE25'!G277+'DOE25'!G296+'DOE25'!G315</f>
        <v>261544.3</v>
      </c>
    </row>
    <row r="28" spans="1:3" x14ac:dyDescent="0.2">
      <c r="A28" t="s">
        <v>779</v>
      </c>
      <c r="B28" s="240">
        <v>414017.98</v>
      </c>
      <c r="C28" s="240">
        <v>200342.93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126703.48</v>
      </c>
      <c r="C30" s="240">
        <v>61201.37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540721.46</v>
      </c>
      <c r="C31" s="231">
        <f>SUM(C28:C30)</f>
        <v>261544.3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333361</v>
      </c>
      <c r="C36" s="235">
        <f>'DOE25'!G199+'DOE25'!G217+'DOE25'!G235+'DOE25'!G278+'DOE25'!G297+'DOE25'!G316</f>
        <v>154216.16</v>
      </c>
    </row>
    <row r="37" spans="1:3" x14ac:dyDescent="0.2">
      <c r="A37" t="s">
        <v>779</v>
      </c>
      <c r="B37" s="240">
        <v>263907</v>
      </c>
      <c r="C37" s="240">
        <v>122139.2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69454</v>
      </c>
      <c r="C39" s="240">
        <v>32076.959999999999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333361</v>
      </c>
      <c r="C40" s="231">
        <f>SUM(C37:C39)</f>
        <v>154216.16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0" activePane="bottomLeft" state="frozen"/>
      <selection pane="bottomLeft" activeCell="D36" sqref="D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Pembroke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14943594.639999999</v>
      </c>
      <c r="D5" s="20">
        <f>SUM('DOE25'!L196:L199)+SUM('DOE25'!L214:L217)+SUM('DOE25'!L232:L235)-F5-G5</f>
        <v>14706000.279999997</v>
      </c>
      <c r="E5" s="243"/>
      <c r="F5" s="255">
        <f>SUM('DOE25'!J196:J199)+SUM('DOE25'!J214:J217)+SUM('DOE25'!J232:J235)</f>
        <v>199497.06000000003</v>
      </c>
      <c r="G5" s="53">
        <f>SUM('DOE25'!K196:K199)+SUM('DOE25'!K214:K217)+SUM('DOE25'!K232:K235)</f>
        <v>38097.299999999996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1744331.9899999998</v>
      </c>
      <c r="D6" s="20">
        <f>'DOE25'!L201+'DOE25'!L219+'DOE25'!L237-F6-G6</f>
        <v>1741098.9999999998</v>
      </c>
      <c r="E6" s="243"/>
      <c r="F6" s="255">
        <f>'DOE25'!J201+'DOE25'!J219+'DOE25'!J237</f>
        <v>1132.99</v>
      </c>
      <c r="G6" s="53">
        <f>'DOE25'!K201+'DOE25'!K219+'DOE25'!K237</f>
        <v>2100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452520.47</v>
      </c>
      <c r="D7" s="20">
        <f>'DOE25'!L202+'DOE25'!L220+'DOE25'!L238-F7-G7</f>
        <v>451161.42</v>
      </c>
      <c r="E7" s="243"/>
      <c r="F7" s="255">
        <f>'DOE25'!J202+'DOE25'!J220+'DOE25'!J238</f>
        <v>1359.05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427386.28</v>
      </c>
      <c r="D8" s="243"/>
      <c r="E8" s="20">
        <f>'DOE25'!L203+'DOE25'!L221+'DOE25'!L239-F8-G8-D9-D11</f>
        <v>420852.79000000004</v>
      </c>
      <c r="F8" s="255">
        <f>'DOE25'!J203+'DOE25'!J221+'DOE25'!J239</f>
        <v>0</v>
      </c>
      <c r="G8" s="53">
        <f>'DOE25'!K203+'DOE25'!K221+'DOE25'!K239</f>
        <v>6533.49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9817.34</v>
      </c>
      <c r="D9" s="244">
        <v>9817.34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8560</v>
      </c>
      <c r="D10" s="243"/>
      <c r="E10" s="244">
        <v>8560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153988.16</v>
      </c>
      <c r="D11" s="244">
        <v>153988.16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1603021.0499999998</v>
      </c>
      <c r="D12" s="20">
        <f>'DOE25'!L204+'DOE25'!L222+'DOE25'!L240-F12-G12</f>
        <v>1574035.67</v>
      </c>
      <c r="E12" s="243"/>
      <c r="F12" s="255">
        <f>'DOE25'!J204+'DOE25'!J222+'DOE25'!J240</f>
        <v>5470.9400000000005</v>
      </c>
      <c r="G12" s="53">
        <f>'DOE25'!K204+'DOE25'!K222+'DOE25'!K240</f>
        <v>23514.440000000002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1619731.25</v>
      </c>
      <c r="D14" s="20">
        <f>'DOE25'!L206+'DOE25'!L224+'DOE25'!L242-F14-G14</f>
        <v>1563135.78</v>
      </c>
      <c r="E14" s="243"/>
      <c r="F14" s="255">
        <f>'DOE25'!J206+'DOE25'!J224+'DOE25'!J242</f>
        <v>56595.47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682589.7</v>
      </c>
      <c r="D15" s="20">
        <f>'DOE25'!L207+'DOE25'!L225+'DOE25'!L243-F15-G15</f>
        <v>682589.7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630108.78</v>
      </c>
      <c r="D22" s="243"/>
      <c r="E22" s="243"/>
      <c r="F22" s="255">
        <f>'DOE25'!L254+'DOE25'!L335</f>
        <v>630108.78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706316.88</v>
      </c>
      <c r="D25" s="243"/>
      <c r="E25" s="243"/>
      <c r="F25" s="258"/>
      <c r="G25" s="256"/>
      <c r="H25" s="257">
        <f>'DOE25'!L259+'DOE25'!L260+'DOE25'!L340+'DOE25'!L341</f>
        <v>706316.88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421037.21000000014</v>
      </c>
      <c r="D29" s="20">
        <f>'DOE25'!L357+'DOE25'!L358+'DOE25'!L359-'DOE25'!I366-F29-G29</f>
        <v>410089.58000000013</v>
      </c>
      <c r="E29" s="243"/>
      <c r="F29" s="255">
        <f>'DOE25'!J357+'DOE25'!J358+'DOE25'!J359</f>
        <v>10220.879999999999</v>
      </c>
      <c r="G29" s="53">
        <f>'DOE25'!K357+'DOE25'!K358+'DOE25'!K359</f>
        <v>726.75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494369.00000000006</v>
      </c>
      <c r="D31" s="20">
        <f>'DOE25'!L289+'DOE25'!L308+'DOE25'!L327+'DOE25'!L332+'DOE25'!L333+'DOE25'!L334-F31-G31</f>
        <v>475389.00000000006</v>
      </c>
      <c r="E31" s="243"/>
      <c r="F31" s="255">
        <f>'DOE25'!J289+'DOE25'!J308+'DOE25'!J327+'DOE25'!J332+'DOE25'!J333+'DOE25'!J334</f>
        <v>9800.0400000000009</v>
      </c>
      <c r="G31" s="53">
        <f>'DOE25'!K289+'DOE25'!K308+'DOE25'!K327+'DOE25'!K332+'DOE25'!K333+'DOE25'!K334</f>
        <v>9179.9599999999991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21767305.93</v>
      </c>
      <c r="E33" s="246">
        <f>SUM(E5:E31)</f>
        <v>429412.79000000004</v>
      </c>
      <c r="F33" s="246">
        <f>SUM(F5:F31)</f>
        <v>914185.21000000008</v>
      </c>
      <c r="G33" s="246">
        <f>SUM(G5:G31)</f>
        <v>80151.94</v>
      </c>
      <c r="H33" s="246">
        <f>SUM(H5:H31)</f>
        <v>706316.88</v>
      </c>
    </row>
    <row r="35" spans="2:8" ht="12" thickBot="1" x14ac:dyDescent="0.25">
      <c r="B35" s="253" t="s">
        <v>847</v>
      </c>
      <c r="D35" s="254">
        <f>E33</f>
        <v>429412.79000000004</v>
      </c>
      <c r="E35" s="249"/>
    </row>
    <row r="36" spans="2:8" ht="12" thickTop="1" x14ac:dyDescent="0.2">
      <c r="B36" t="s">
        <v>815</v>
      </c>
      <c r="D36" s="20">
        <f>D33</f>
        <v>21767305.93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1351448.08</v>
      </c>
      <c r="D8" s="95">
        <f>'DOE25'!G9</f>
        <v>14514.63</v>
      </c>
      <c r="E8" s="95">
        <f>'DOE25'!H9</f>
        <v>0</v>
      </c>
      <c r="F8" s="95">
        <f>'DOE25'!I9</f>
        <v>0</v>
      </c>
      <c r="G8" s="95">
        <f>'DOE25'!J9</f>
        <v>826791.21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71812.399999999994</v>
      </c>
      <c r="E11" s="95">
        <f>'DOE25'!H12</f>
        <v>0</v>
      </c>
      <c r="F11" s="95">
        <f>'DOE25'!I12</f>
        <v>1089.07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280195.02</v>
      </c>
      <c r="D12" s="95">
        <f>'DOE25'!G13</f>
        <v>45376.86</v>
      </c>
      <c r="E12" s="95">
        <f>'DOE25'!H13</f>
        <v>44227.43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6290.35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51763.65</v>
      </c>
      <c r="D16" s="95">
        <f>'DOE25'!G17</f>
        <v>4438.37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1683406.75</v>
      </c>
      <c r="D18" s="41">
        <f>SUM(D8:D17)</f>
        <v>142432.61000000002</v>
      </c>
      <c r="E18" s="41">
        <f>SUM(E8:E17)</f>
        <v>44227.43</v>
      </c>
      <c r="F18" s="41">
        <f>SUM(F8:F17)</f>
        <v>1089.07</v>
      </c>
      <c r="G18" s="41">
        <f>SUM(G8:G17)</f>
        <v>826791.21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31715.89</v>
      </c>
      <c r="D21" s="95" t="str">
        <f>'DOE25'!G22</f>
        <v xml:space="preserve"> </v>
      </c>
      <c r="E21" s="95">
        <f>'DOE25'!H22</f>
        <v>41185.58</v>
      </c>
      <c r="F21" s="95" t="str">
        <f>'DOE25'!I22</f>
        <v xml:space="preserve"> 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702390.33</v>
      </c>
      <c r="D22" s="95">
        <f>'DOE25'!G23</f>
        <v>7345.37</v>
      </c>
      <c r="E22" s="95">
        <f>'DOE25'!H23</f>
        <v>2790.5</v>
      </c>
      <c r="F22" s="95">
        <f>'DOE25'!I23</f>
        <v>1089.07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109344.97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349415.46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3750.5</v>
      </c>
      <c r="D29" s="95">
        <f>'DOE25'!G30</f>
        <v>0</v>
      </c>
      <c r="E29" s="95">
        <f>'DOE25'!H30</f>
        <v>251.35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1196617.1499999999</v>
      </c>
      <c r="D31" s="41">
        <f>SUM(D21:D30)</f>
        <v>7345.37</v>
      </c>
      <c r="E31" s="41">
        <f>SUM(E21:E30)</f>
        <v>44227.43</v>
      </c>
      <c r="F31" s="41">
        <f>SUM(F21:F30)</f>
        <v>1089.07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135087.24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54539.74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826791.21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332249.86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486789.6</v>
      </c>
      <c r="D49" s="41">
        <f>SUM(D34:D48)</f>
        <v>135087.24</v>
      </c>
      <c r="E49" s="41">
        <f>SUM(E34:E48)</f>
        <v>0</v>
      </c>
      <c r="F49" s="41">
        <f>SUM(F34:F48)</f>
        <v>0</v>
      </c>
      <c r="G49" s="41">
        <f>SUM(G34:G48)</f>
        <v>826791.21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1683406.75</v>
      </c>
      <c r="D50" s="41">
        <f>D49+D31</f>
        <v>142432.60999999999</v>
      </c>
      <c r="E50" s="41">
        <f>E49+E31</f>
        <v>44227.43</v>
      </c>
      <c r="F50" s="41">
        <f>F49+F31</f>
        <v>1089.07</v>
      </c>
      <c r="G50" s="41">
        <f>G49+G31</f>
        <v>826791.21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10077916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5170360.3000000007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16125.56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64.17</v>
      </c>
      <c r="E58" s="95">
        <f>'DOE25'!H95</f>
        <v>0</v>
      </c>
      <c r="F58" s="95">
        <f>'DOE25'!I95</f>
        <v>0</v>
      </c>
      <c r="G58" s="95">
        <f>'DOE25'!J95</f>
        <v>234.17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390568.62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89646.290000000008</v>
      </c>
      <c r="D60" s="95">
        <f>SUM('DOE25'!G97:G109)</f>
        <v>245.5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5276132.1500000004</v>
      </c>
      <c r="D61" s="130">
        <f>SUM(D56:D60)</f>
        <v>390878.29</v>
      </c>
      <c r="E61" s="130">
        <f>SUM(E56:E60)</f>
        <v>0</v>
      </c>
      <c r="F61" s="130">
        <f>SUM(F56:F60)</f>
        <v>0</v>
      </c>
      <c r="G61" s="130">
        <f>SUM(G56:G60)</f>
        <v>234.17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15354048.15</v>
      </c>
      <c r="D62" s="22">
        <f>D55+D61</f>
        <v>390878.29</v>
      </c>
      <c r="E62" s="22">
        <f>E55+E61</f>
        <v>0</v>
      </c>
      <c r="F62" s="22">
        <f>F55+F61</f>
        <v>0</v>
      </c>
      <c r="G62" s="22">
        <f>G55+G61</f>
        <v>234.17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5526393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1344325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6870718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483910.14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288070.52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8361.57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6742.22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780342.23</v>
      </c>
      <c r="D77" s="130">
        <f>SUM(D71:D76)</f>
        <v>6742.22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7651060.2300000004</v>
      </c>
      <c r="D80" s="130">
        <f>SUM(D78:D79)+D77+D69</f>
        <v>6742.22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234928.14</v>
      </c>
      <c r="D87" s="95">
        <f>SUM('DOE25'!G152:G160)</f>
        <v>251897.41</v>
      </c>
      <c r="E87" s="95">
        <f>SUM('DOE25'!H152:H160)</f>
        <v>494369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234928.14</v>
      </c>
      <c r="D90" s="131">
        <f>SUM(D84:D89)</f>
        <v>251897.41</v>
      </c>
      <c r="E90" s="131">
        <f>SUM(E84:E89)</f>
        <v>494369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2848.24</v>
      </c>
      <c r="E95" s="95">
        <f>'DOE25'!H178</f>
        <v>0</v>
      </c>
      <c r="F95" s="95">
        <f>'DOE25'!I178</f>
        <v>0</v>
      </c>
      <c r="G95" s="95">
        <f>'DOE25'!J178</f>
        <v>175000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605.95000000000005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49497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50222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100324.95</v>
      </c>
      <c r="D102" s="86">
        <f>SUM(D92:D101)</f>
        <v>2848.24</v>
      </c>
      <c r="E102" s="86">
        <f>SUM(E92:E101)</f>
        <v>0</v>
      </c>
      <c r="F102" s="86">
        <f>SUM(F92:F101)</f>
        <v>0</v>
      </c>
      <c r="G102" s="86">
        <f>SUM(G92:G101)</f>
        <v>175000</v>
      </c>
    </row>
    <row r="103" spans="1:7" ht="12.75" thickTop="1" thickBot="1" x14ac:dyDescent="0.25">
      <c r="A103" s="33" t="s">
        <v>765</v>
      </c>
      <c r="C103" s="86">
        <f>C62+C80+C90+C102</f>
        <v>23340361.470000003</v>
      </c>
      <c r="D103" s="86">
        <f>D62+D80+D90+D102</f>
        <v>652366.15999999992</v>
      </c>
      <c r="E103" s="86">
        <f>E62+E80+E90+E102</f>
        <v>494369</v>
      </c>
      <c r="F103" s="86">
        <f>F62+F80+F90+F102</f>
        <v>0</v>
      </c>
      <c r="G103" s="86">
        <f>G62+G80+G102</f>
        <v>175234.17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9160624</v>
      </c>
      <c r="D108" s="24" t="s">
        <v>289</v>
      </c>
      <c r="E108" s="95">
        <f>('DOE25'!L275)+('DOE25'!L294)+('DOE25'!L313)</f>
        <v>448803.38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4225043.3499999996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964908.85000000009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593018.43999999994</v>
      </c>
      <c r="D111" s="24" t="s">
        <v>289</v>
      </c>
      <c r="E111" s="95">
        <f>+('DOE25'!L278)+('DOE25'!L297)+('DOE25'!L316)</f>
        <v>29505.34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14943594.639999999</v>
      </c>
      <c r="D114" s="86">
        <f>SUM(D108:D113)</f>
        <v>0</v>
      </c>
      <c r="E114" s="86">
        <f>SUM(E108:E113)</f>
        <v>478308.72000000003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1744331.9899999998</v>
      </c>
      <c r="D117" s="24" t="s">
        <v>289</v>
      </c>
      <c r="E117" s="95">
        <f>+('DOE25'!L280)+('DOE25'!L299)+('DOE25'!L318)</f>
        <v>6880.32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452520.47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591191.78</v>
      </c>
      <c r="D119" s="24" t="s">
        <v>289</v>
      </c>
      <c r="E119" s="95">
        <f>+('DOE25'!L282)+('DOE25'!L301)+('DOE25'!L320)</f>
        <v>9179.9599999999991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1603021.0499999998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1619731.25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682589.7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703845.00000000012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6693386.2400000002</v>
      </c>
      <c r="D127" s="86">
        <f>SUM(D117:D126)</f>
        <v>703845.00000000012</v>
      </c>
      <c r="E127" s="86">
        <f>SUM(E117:E126)</f>
        <v>16060.279999999999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630108.78</v>
      </c>
      <c r="D129" s="24" t="s">
        <v>289</v>
      </c>
      <c r="E129" s="129">
        <f>'DOE25'!L335</f>
        <v>0</v>
      </c>
      <c r="F129" s="129">
        <f>SUM('DOE25'!L373:'DOE25'!L379)</f>
        <v>130888.1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620700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85616.88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605.95000000000005</v>
      </c>
      <c r="G133" s="95">
        <f>'DOE25'!K433</f>
        <v>99719</v>
      </c>
    </row>
    <row r="134" spans="1:7" x14ac:dyDescent="0.2">
      <c r="A134" t="s">
        <v>233</v>
      </c>
      <c r="B134" s="32" t="s">
        <v>234</v>
      </c>
      <c r="C134" s="95">
        <f>'DOE25'!L262</f>
        <v>2848.24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100069.6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75164.570000000007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-234.17000000001281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70507.58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1584781.4800000004</v>
      </c>
      <c r="D143" s="141">
        <f>SUM(D129:D142)</f>
        <v>0</v>
      </c>
      <c r="E143" s="141">
        <f>SUM(E129:E142)</f>
        <v>0</v>
      </c>
      <c r="F143" s="141">
        <f>SUM(F129:F142)</f>
        <v>131494.05000000002</v>
      </c>
      <c r="G143" s="141">
        <f>SUM(G129:G142)</f>
        <v>99719</v>
      </c>
    </row>
    <row r="144" spans="1:7" ht="12.75" thickTop="1" thickBot="1" x14ac:dyDescent="0.25">
      <c r="A144" s="33" t="s">
        <v>244</v>
      </c>
      <c r="C144" s="86">
        <f>(C114+C127+C143)</f>
        <v>23221762.359999999</v>
      </c>
      <c r="D144" s="86">
        <f>(D114+D127+D143)</f>
        <v>703845.00000000012</v>
      </c>
      <c r="E144" s="86">
        <f>(E114+E127+E143)</f>
        <v>494369</v>
      </c>
      <c r="F144" s="86">
        <f>(F114+F127+F143)</f>
        <v>131494.05000000002</v>
      </c>
      <c r="G144" s="86">
        <f>(G114+G127+G143)</f>
        <v>99719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15</v>
      </c>
      <c r="D150" s="153">
        <f>'DOE25'!H489</f>
        <v>15</v>
      </c>
      <c r="E150" s="153">
        <f>'DOE25'!I489</f>
        <v>15</v>
      </c>
      <c r="F150" s="153">
        <f>'DOE25'!J489</f>
        <v>10</v>
      </c>
      <c r="G150" s="24" t="s">
        <v>289</v>
      </c>
    </row>
    <row r="151" spans="1:9" x14ac:dyDescent="0.2">
      <c r="A151" s="136" t="s">
        <v>28</v>
      </c>
      <c r="B151" s="152" t="str">
        <f>'DOE25'!F490</f>
        <v>09/99</v>
      </c>
      <c r="C151" s="152" t="str">
        <f>'DOE25'!G490</f>
        <v>08/07</v>
      </c>
      <c r="D151" s="152" t="str">
        <f>'DOE25'!H490</f>
        <v>08/07</v>
      </c>
      <c r="E151" s="152" t="str">
        <f>'DOE25'!I490</f>
        <v>01/10</v>
      </c>
      <c r="F151" s="152" t="str">
        <f>'DOE25'!J490</f>
        <v>01/12</v>
      </c>
      <c r="G151" s="24" t="s">
        <v>289</v>
      </c>
    </row>
    <row r="152" spans="1:9" x14ac:dyDescent="0.2">
      <c r="A152" s="136" t="s">
        <v>29</v>
      </c>
      <c r="B152" s="152" t="str">
        <f>'DOE25'!F491</f>
        <v>09/15</v>
      </c>
      <c r="C152" s="152" t="str">
        <f>'DOE25'!G491</f>
        <v>11/22</v>
      </c>
      <c r="D152" s="152" t="str">
        <f>'DOE25'!H491</f>
        <v>01/23</v>
      </c>
      <c r="E152" s="152" t="str">
        <f>'DOE25'!I491</f>
        <v>07/25</v>
      </c>
      <c r="F152" s="152" t="str">
        <f>'DOE25'!J491</f>
        <v>01/22</v>
      </c>
      <c r="G152" s="24" t="s">
        <v>289</v>
      </c>
    </row>
    <row r="153" spans="1:9" x14ac:dyDescent="0.2">
      <c r="A153" s="136" t="s">
        <v>30</v>
      </c>
      <c r="B153" s="137">
        <f>'DOE25'!F492</f>
        <v>8445000</v>
      </c>
      <c r="C153" s="137">
        <f>'DOE25'!G492</f>
        <v>360109</v>
      </c>
      <c r="D153" s="137">
        <f>'DOE25'!H492</f>
        <v>2459891</v>
      </c>
      <c r="E153" s="137">
        <f>'DOE25'!I492</f>
        <v>3600000</v>
      </c>
      <c r="F153" s="137">
        <f>'DOE25'!J492</f>
        <v>465700</v>
      </c>
      <c r="G153" s="24" t="s">
        <v>289</v>
      </c>
    </row>
    <row r="154" spans="1:9" x14ac:dyDescent="0.2">
      <c r="A154" s="136" t="s">
        <v>31</v>
      </c>
      <c r="B154" s="137">
        <f>'DOE25'!F493</f>
        <v>4.25</v>
      </c>
      <c r="C154" s="137">
        <f>'DOE25'!G493</f>
        <v>4.68</v>
      </c>
      <c r="D154" s="137">
        <f>'DOE25'!H493</f>
        <v>4.3</v>
      </c>
      <c r="E154" s="137">
        <f>'DOE25'!I493</f>
        <v>1.65</v>
      </c>
      <c r="F154" s="137">
        <f>'DOE25'!J493</f>
        <v>2.34</v>
      </c>
      <c r="G154" s="24" t="s">
        <v>289</v>
      </c>
    </row>
    <row r="155" spans="1:9" x14ac:dyDescent="0.2">
      <c r="A155" s="22" t="s">
        <v>32</v>
      </c>
      <c r="B155" s="137">
        <f>'DOE25'!F494</f>
        <v>1545000</v>
      </c>
      <c r="C155" s="137">
        <f>'DOE25'!G494</f>
        <v>286780.38</v>
      </c>
      <c r="D155" s="137">
        <f>'DOE25'!H494</f>
        <v>1947453.37</v>
      </c>
      <c r="E155" s="137">
        <f>'DOE25'!I494</f>
        <v>3360000</v>
      </c>
      <c r="F155" s="137">
        <f>'DOE25'!J494</f>
        <v>465700</v>
      </c>
      <c r="G155" s="138">
        <f>SUM(B155:F155)</f>
        <v>7604933.75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575000</v>
      </c>
      <c r="C157" s="137">
        <f>'DOE25'!G496</f>
        <v>20526.04</v>
      </c>
      <c r="D157" s="137">
        <f>'DOE25'!H496</f>
        <v>142170.93</v>
      </c>
      <c r="E157" s="137">
        <f>'DOE25'!I496</f>
        <v>240000</v>
      </c>
      <c r="F157" s="137">
        <f>'DOE25'!J496</f>
        <v>45700</v>
      </c>
      <c r="G157" s="138">
        <f t="shared" si="0"/>
        <v>1023396.97</v>
      </c>
    </row>
    <row r="158" spans="1:9" x14ac:dyDescent="0.2">
      <c r="A158" s="22" t="s">
        <v>35</v>
      </c>
      <c r="B158" s="137">
        <f>'DOE25'!F497</f>
        <v>970000</v>
      </c>
      <c r="C158" s="137">
        <f>'DOE25'!G497</f>
        <v>266254.34000000003</v>
      </c>
      <c r="D158" s="137">
        <f>'DOE25'!H497</f>
        <v>1805282.44</v>
      </c>
      <c r="E158" s="137">
        <f>'DOE25'!I497</f>
        <v>3120000</v>
      </c>
      <c r="F158" s="137">
        <f>'DOE25'!J497</f>
        <v>420000</v>
      </c>
      <c r="G158" s="138">
        <f t="shared" si="0"/>
        <v>6581536.7800000003</v>
      </c>
    </row>
    <row r="159" spans="1:9" x14ac:dyDescent="0.2">
      <c r="A159" s="22" t="s">
        <v>36</v>
      </c>
      <c r="B159" s="137">
        <f>'DOE25'!F498</f>
        <v>60425.760000000002</v>
      </c>
      <c r="C159" s="137">
        <f>'DOE25'!G498</f>
        <v>73219.28</v>
      </c>
      <c r="D159" s="137">
        <f>'DOE25'!H498</f>
        <v>453831.79</v>
      </c>
      <c r="E159" s="137">
        <f>'DOE25'!I498</f>
        <v>360360</v>
      </c>
      <c r="F159" s="137">
        <f>'DOE25'!J498</f>
        <v>87600</v>
      </c>
      <c r="G159" s="138">
        <f t="shared" si="0"/>
        <v>1035436.83</v>
      </c>
    </row>
    <row r="160" spans="1:9" x14ac:dyDescent="0.2">
      <c r="A160" s="22" t="s">
        <v>37</v>
      </c>
      <c r="B160" s="137">
        <f>'DOE25'!F499</f>
        <v>1030425.76</v>
      </c>
      <c r="C160" s="137">
        <f>'DOE25'!G499</f>
        <v>339473.62</v>
      </c>
      <c r="D160" s="137">
        <f>'DOE25'!H499</f>
        <v>2259114.23</v>
      </c>
      <c r="E160" s="137">
        <f>'DOE25'!I499</f>
        <v>3480360</v>
      </c>
      <c r="F160" s="137">
        <f>'DOE25'!J499</f>
        <v>507600</v>
      </c>
      <c r="G160" s="138">
        <f t="shared" si="0"/>
        <v>7616973.6099999994</v>
      </c>
    </row>
    <row r="161" spans="1:7" x14ac:dyDescent="0.2">
      <c r="A161" s="22" t="s">
        <v>38</v>
      </c>
      <c r="B161" s="137">
        <f>'DOE25'!F500</f>
        <v>575000</v>
      </c>
      <c r="C161" s="137">
        <f>'DOE25'!G500</f>
        <v>21486.66</v>
      </c>
      <c r="D161" s="137">
        <f>'DOE25'!H500</f>
        <v>148284.28</v>
      </c>
      <c r="E161" s="137">
        <f>'DOE25'!I500</f>
        <v>240000</v>
      </c>
      <c r="F161" s="137">
        <f>'DOE25'!J500</f>
        <v>50000</v>
      </c>
      <c r="G161" s="138">
        <f t="shared" si="0"/>
        <v>1034770.9400000001</v>
      </c>
    </row>
    <row r="162" spans="1:7" x14ac:dyDescent="0.2">
      <c r="A162" s="22" t="s">
        <v>39</v>
      </c>
      <c r="B162" s="137">
        <f>'DOE25'!F501</f>
        <v>40519.129999999997</v>
      </c>
      <c r="C162" s="137">
        <f>'DOE25'!G501</f>
        <v>12460.7</v>
      </c>
      <c r="D162" s="137">
        <f>'DOE25'!H501</f>
        <v>77627.14</v>
      </c>
      <c r="E162" s="137">
        <f>'DOE25'!I501</f>
        <v>51480</v>
      </c>
      <c r="F162" s="137">
        <f>'DOE25'!J501</f>
        <v>17700</v>
      </c>
      <c r="G162" s="138">
        <f t="shared" si="0"/>
        <v>199786.97</v>
      </c>
    </row>
    <row r="163" spans="1:7" x14ac:dyDescent="0.2">
      <c r="A163" s="22" t="s">
        <v>246</v>
      </c>
      <c r="B163" s="137">
        <f>'DOE25'!F502</f>
        <v>615519.13</v>
      </c>
      <c r="C163" s="137">
        <f>'DOE25'!G502</f>
        <v>33947.360000000001</v>
      </c>
      <c r="D163" s="137">
        <f>'DOE25'!H502</f>
        <v>225911.41999999998</v>
      </c>
      <c r="E163" s="137">
        <f>'DOE25'!I502</f>
        <v>291480</v>
      </c>
      <c r="F163" s="137">
        <f>'DOE25'!J502</f>
        <v>67700</v>
      </c>
      <c r="G163" s="138">
        <f t="shared" si="0"/>
        <v>1234557.9099999999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Pembroke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13484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11666</v>
      </c>
    </row>
    <row r="7" spans="1:4" x14ac:dyDescent="0.2">
      <c r="B7" t="s">
        <v>705</v>
      </c>
      <c r="C7" s="179">
        <f>IF('DOE25'!I664+'DOE25'!I669=0,0,ROUND('DOE25'!I671,0))</f>
        <v>12538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9609427</v>
      </c>
      <c r="D10" s="182">
        <f>ROUND((C10/$C$28)*100,1)</f>
        <v>42.5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4225043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964909</v>
      </c>
      <c r="D12" s="182">
        <f>ROUND((C12/$C$28)*100,1)</f>
        <v>4.3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622524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1751212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452520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600372</v>
      </c>
      <c r="D17" s="182">
        <f t="shared" si="0"/>
        <v>2.7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1603021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1619731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682590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85617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70507.58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313030.88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22600504.459999997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760997</v>
      </c>
    </row>
    <row r="30" spans="1:4" x14ac:dyDescent="0.2">
      <c r="B30" s="187" t="s">
        <v>729</v>
      </c>
      <c r="C30" s="180">
        <f>SUM(C28:C29)</f>
        <v>23361501.459999997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620700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10077916</v>
      </c>
      <c r="D35" s="182">
        <f t="shared" ref="D35:D40" si="1">ROUND((C35/$C$41)*100,1)</f>
        <v>42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5276430.49</v>
      </c>
      <c r="D36" s="182">
        <f t="shared" si="1"/>
        <v>22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6870718</v>
      </c>
      <c r="D37" s="182">
        <f t="shared" si="1"/>
        <v>28.6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787084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981195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23993343.490000002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Pembroke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2013-09-16T16:54:17Z</cp:lastPrinted>
  <dcterms:created xsi:type="dcterms:W3CDTF">1997-12-04T19:04:30Z</dcterms:created>
  <dcterms:modified xsi:type="dcterms:W3CDTF">2013-12-05T19:29:40Z</dcterms:modified>
</cp:coreProperties>
</file>