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C119" i="2" s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C11" i="10" s="1"/>
  <c r="L234" i="1"/>
  <c r="L235" i="1"/>
  <c r="F6" i="13"/>
  <c r="G6" i="13"/>
  <c r="L201" i="1"/>
  <c r="L219" i="1"/>
  <c r="L237" i="1"/>
  <c r="F7" i="13"/>
  <c r="G7" i="13"/>
  <c r="L202" i="1"/>
  <c r="L220" i="1"/>
  <c r="L238" i="1"/>
  <c r="C118" i="2" s="1"/>
  <c r="F12" i="13"/>
  <c r="G12" i="13"/>
  <c r="L204" i="1"/>
  <c r="L222" i="1"/>
  <c r="L240" i="1"/>
  <c r="C18" i="10" s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2" i="10"/>
  <c r="C13" i="10"/>
  <c r="C15" i="10"/>
  <c r="C16" i="10"/>
  <c r="C17" i="10"/>
  <c r="C19" i="10"/>
  <c r="C20" i="10"/>
  <c r="C21" i="10"/>
  <c r="L249" i="1"/>
  <c r="L331" i="1"/>
  <c r="C23" i="10" s="1"/>
  <c r="L253" i="1"/>
  <c r="C25" i="10"/>
  <c r="L267" i="1"/>
  <c r="L268" i="1"/>
  <c r="L348" i="1"/>
  <c r="L349" i="1"/>
  <c r="I664" i="1"/>
  <c r="I669" i="1"/>
  <c r="L210" i="1"/>
  <c r="L228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E31" i="2" s="1"/>
  <c r="E50" i="2" s="1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D90" i="2" s="1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E109" i="2"/>
  <c r="C110" i="2"/>
  <c r="E110" i="2"/>
  <c r="E114" i="2" s="1"/>
  <c r="C111" i="2"/>
  <c r="E111" i="2"/>
  <c r="C112" i="2"/>
  <c r="E112" i="2"/>
  <c r="C113" i="2"/>
  <c r="E113" i="2"/>
  <c r="D114" i="2"/>
  <c r="F114" i="2"/>
  <c r="G114" i="2"/>
  <c r="C117" i="2"/>
  <c r="E117" i="2"/>
  <c r="E118" i="2"/>
  <c r="E119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G617" i="1" s="1"/>
  <c r="H19" i="1"/>
  <c r="I19" i="1"/>
  <c r="F32" i="1"/>
  <c r="G32" i="1"/>
  <c r="H32" i="1"/>
  <c r="I32" i="1"/>
  <c r="F50" i="1"/>
  <c r="F51" i="1" s="1"/>
  <c r="H616" i="1" s="1"/>
  <c r="J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G256" i="1" s="1"/>
  <c r="G270" i="1" s="1"/>
  <c r="H246" i="1"/>
  <c r="I246" i="1"/>
  <c r="I256" i="1" s="1"/>
  <c r="I270" i="1" s="1"/>
  <c r="J246" i="1"/>
  <c r="J256" i="1" s="1"/>
  <c r="J270" i="1" s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L336" i="1" s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H445" i="1"/>
  <c r="I445" i="1"/>
  <c r="F451" i="1"/>
  <c r="G451" i="1"/>
  <c r="H451" i="1"/>
  <c r="I451" i="1"/>
  <c r="F459" i="1"/>
  <c r="G459" i="1"/>
  <c r="H459" i="1"/>
  <c r="I459" i="1"/>
  <c r="F460" i="1"/>
  <c r="H638" i="1" s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J648" i="1" s="1"/>
  <c r="G649" i="1"/>
  <c r="G650" i="1"/>
  <c r="G651" i="1"/>
  <c r="H651" i="1"/>
  <c r="G652" i="1"/>
  <c r="H652" i="1"/>
  <c r="G653" i="1"/>
  <c r="H653" i="1"/>
  <c r="H654" i="1"/>
  <c r="F191" i="1"/>
  <c r="L255" i="1"/>
  <c r="K256" i="1"/>
  <c r="K270" i="1" s="1"/>
  <c r="G163" i="2"/>
  <c r="G159" i="2"/>
  <c r="C18" i="2"/>
  <c r="F31" i="2"/>
  <c r="C26" i="10"/>
  <c r="L327" i="1"/>
  <c r="L350" i="1"/>
  <c r="I661" i="1"/>
  <c r="L289" i="1"/>
  <c r="F659" i="1" s="1"/>
  <c r="A31" i="12"/>
  <c r="C69" i="2"/>
  <c r="A40" i="12"/>
  <c r="D12" i="13"/>
  <c r="C12" i="13" s="1"/>
  <c r="G161" i="2"/>
  <c r="D61" i="2"/>
  <c r="D62" i="2" s="1"/>
  <c r="E49" i="2"/>
  <c r="D18" i="13"/>
  <c r="C18" i="13" s="1"/>
  <c r="D15" i="13"/>
  <c r="C15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77" i="2"/>
  <c r="C80" i="2" s="1"/>
  <c r="D49" i="2"/>
  <c r="G156" i="2"/>
  <c r="F49" i="2"/>
  <c r="F50" i="2" s="1"/>
  <c r="F18" i="2"/>
  <c r="G162" i="2"/>
  <c r="G160" i="2"/>
  <c r="G157" i="2"/>
  <c r="G155" i="2"/>
  <c r="E143" i="2"/>
  <c r="G102" i="2"/>
  <c r="E102" i="2"/>
  <c r="C102" i="2"/>
  <c r="F90" i="2"/>
  <c r="E61" i="2"/>
  <c r="E62" i="2" s="1"/>
  <c r="C61" i="2"/>
  <c r="C62" i="2" s="1"/>
  <c r="C31" i="2"/>
  <c r="G61" i="2"/>
  <c r="D29" i="13"/>
  <c r="C29" i="13" s="1"/>
  <c r="D19" i="13"/>
  <c r="C19" i="13" s="1"/>
  <c r="D14" i="13"/>
  <c r="C14" i="13" s="1"/>
  <c r="E13" i="13"/>
  <c r="C13" i="13" s="1"/>
  <c r="E77" i="2"/>
  <c r="E80" i="2" s="1"/>
  <c r="L426" i="1"/>
  <c r="H111" i="1"/>
  <c r="F111" i="1"/>
  <c r="J640" i="1"/>
  <c r="K604" i="1"/>
  <c r="G647" i="1" s="1"/>
  <c r="J570" i="1"/>
  <c r="K570" i="1"/>
  <c r="L432" i="1"/>
  <c r="L418" i="1"/>
  <c r="D80" i="2"/>
  <c r="I168" i="1"/>
  <c r="H168" i="1"/>
  <c r="G551" i="1"/>
  <c r="J643" i="1"/>
  <c r="J642" i="1"/>
  <c r="J475" i="1"/>
  <c r="H625" i="1" s="1"/>
  <c r="H475" i="1"/>
  <c r="H623" i="1" s="1"/>
  <c r="J623" i="1" s="1"/>
  <c r="F475" i="1"/>
  <c r="H621" i="1" s="1"/>
  <c r="G475" i="1"/>
  <c r="H622" i="1" s="1"/>
  <c r="J622" i="1" s="1"/>
  <c r="G337" i="1"/>
  <c r="G351" i="1" s="1"/>
  <c r="F168" i="1"/>
  <c r="J139" i="1"/>
  <c r="F570" i="1"/>
  <c r="F663" i="1"/>
  <c r="F671" i="1" s="1"/>
  <c r="C4" i="10" s="1"/>
  <c r="I551" i="1"/>
  <c r="K548" i="1"/>
  <c r="K549" i="1"/>
  <c r="G22" i="2"/>
  <c r="K597" i="1"/>
  <c r="G646" i="1" s="1"/>
  <c r="J646" i="1" s="1"/>
  <c r="K544" i="1"/>
  <c r="J551" i="1"/>
  <c r="H551" i="1"/>
  <c r="C29" i="10"/>
  <c r="I660" i="1"/>
  <c r="H139" i="1"/>
  <c r="L400" i="1"/>
  <c r="C138" i="2" s="1"/>
  <c r="L392" i="1"/>
  <c r="C137" i="2" s="1"/>
  <c r="A13" i="12"/>
  <c r="F22" i="13"/>
  <c r="H25" i="13"/>
  <c r="C25" i="13" s="1"/>
  <c r="J650" i="1"/>
  <c r="J639" i="1"/>
  <c r="J633" i="1"/>
  <c r="H570" i="1"/>
  <c r="L559" i="1"/>
  <c r="J544" i="1"/>
  <c r="H337" i="1"/>
  <c r="H351" i="1" s="1"/>
  <c r="F337" i="1"/>
  <c r="F351" i="1" s="1"/>
  <c r="G191" i="1"/>
  <c r="H191" i="1"/>
  <c r="E127" i="2"/>
  <c r="F551" i="1"/>
  <c r="C35" i="10"/>
  <c r="L308" i="1"/>
  <c r="E16" i="13"/>
  <c r="C49" i="2"/>
  <c r="J654" i="1"/>
  <c r="J644" i="1"/>
  <c r="L569" i="1"/>
  <c r="I570" i="1"/>
  <c r="I544" i="1"/>
  <c r="J635" i="1"/>
  <c r="G36" i="2"/>
  <c r="L564" i="1"/>
  <c r="G544" i="1"/>
  <c r="H544" i="1"/>
  <c r="C22" i="13"/>
  <c r="C16" i="13"/>
  <c r="H33" i="13"/>
  <c r="E33" i="13" l="1"/>
  <c r="D35" i="13" s="1"/>
  <c r="L544" i="1"/>
  <c r="K550" i="1"/>
  <c r="K551" i="1" s="1"/>
  <c r="I475" i="1"/>
  <c r="H624" i="1" s="1"/>
  <c r="J624" i="1" s="1"/>
  <c r="J638" i="1"/>
  <c r="F666" i="1"/>
  <c r="E144" i="2"/>
  <c r="H256" i="1"/>
  <c r="H270" i="1" s="1"/>
  <c r="C120" i="2"/>
  <c r="C127" i="2"/>
  <c r="D7" i="13"/>
  <c r="C7" i="13" s="1"/>
  <c r="D5" i="13"/>
  <c r="C5" i="13" s="1"/>
  <c r="C109" i="2"/>
  <c r="C114" i="2" s="1"/>
  <c r="L246" i="1"/>
  <c r="H659" i="1" s="1"/>
  <c r="J621" i="1"/>
  <c r="C50" i="2"/>
  <c r="L337" i="1"/>
  <c r="L351" i="1" s="1"/>
  <c r="G632" i="1" s="1"/>
  <c r="J632" i="1" s="1"/>
  <c r="C24" i="10"/>
  <c r="G659" i="1"/>
  <c r="G663" i="1" s="1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666" i="1"/>
  <c r="G671" i="1"/>
  <c r="C5" i="10" s="1"/>
  <c r="G42" i="2"/>
  <c r="J50" i="1"/>
  <c r="G16" i="2"/>
  <c r="J19" i="1"/>
  <c r="G620" i="1" s="1"/>
  <c r="F33" i="13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H645" i="1"/>
  <c r="G49" i="2"/>
  <c r="G50" i="2" s="1"/>
  <c r="H647" i="1"/>
  <c r="J647" i="1" s="1"/>
  <c r="C103" i="2"/>
  <c r="J651" i="1"/>
  <c r="J641" i="1"/>
  <c r="G570" i="1"/>
  <c r="I433" i="1"/>
  <c r="G433" i="1"/>
  <c r="E103" i="2"/>
  <c r="I662" i="1"/>
  <c r="C27" i="10"/>
  <c r="C28" i="10" s="1"/>
  <c r="G634" i="1"/>
  <c r="J634" i="1" s="1"/>
  <c r="D31" i="13" l="1"/>
  <c r="C31" i="13" s="1"/>
  <c r="C144" i="2"/>
  <c r="H663" i="1"/>
  <c r="I659" i="1"/>
  <c r="I663" i="1" s="1"/>
  <c r="I671" i="1" s="1"/>
  <c r="C7" i="10" s="1"/>
  <c r="L256" i="1"/>
  <c r="L270" i="1" s="1"/>
  <c r="G631" i="1" s="1"/>
  <c r="J631" i="1" s="1"/>
  <c r="G630" i="1"/>
  <c r="J630" i="1" s="1"/>
  <c r="D33" i="13"/>
  <c r="D36" i="13" s="1"/>
  <c r="J645" i="1"/>
  <c r="G192" i="1"/>
  <c r="G627" i="1" s="1"/>
  <c r="J627" i="1" s="1"/>
  <c r="G625" i="1"/>
  <c r="J625" i="1" s="1"/>
  <c r="J51" i="1"/>
  <c r="H620" i="1" s="1"/>
  <c r="J620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H666" i="1" l="1"/>
  <c r="H671" i="1"/>
  <c r="C6" i="10" s="1"/>
  <c r="I666" i="1"/>
  <c r="H655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<sst xmlns="http://schemas.openxmlformats.org/spreadsheetml/2006/main" count="3945" uniqueCount="910">
  <si>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</si>
  <si>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</si>
  <si>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</si>
  <si>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</si>
  <si>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</si>
  <si>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</si>
  <si>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</si>
  <si>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</si>
  <si>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</si>
  <si>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</si>
  <si>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</si>
  <si>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</si>
  <si>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</si>
  <si>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</si>
  <si>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</si>
  <si>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</si>
  <si>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</si>
  <si>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</si>
  <si>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</si>
  <si>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</si>
  <si>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</si>
  <si>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</si>
  <si>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</si>
  <si>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</si>
  <si>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</si>
  <si>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</si>
  <si>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</si>
  <si>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</si>
  <si>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</si>
  <si>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</si>
  <si>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</si>
  <si>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</si>
  <si>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</si>
  <si>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</si>
  <si>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</si>
  <si>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</si>
  <si>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</si>
  <si>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</si>
  <si>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</si>
  <si>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</si>
  <si>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</si>
  <si>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</si>
  <si>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</si>
  <si>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</si>
  <si>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</si>
  <si>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</si>
  <si>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</si>
  <si>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</si>
  <si>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</si>
  <si>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</si>
  <si>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</si>
  <si>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</si>
  <si>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</si>
  <si>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</si>
  <si>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</si>
  <si>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</si>
  <si>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</si>
  <si>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</si>
  <si>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</si>
  <si>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</si>
  <si>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</si>
  <si>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</si>
  <si>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</si>
  <si>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</si>
  <si>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</si>
  <si>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</si>
  <si>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</si>
  <si>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</si>
  <si>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</si>
  <si>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</si>
  <si>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</si>
  <si>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</si>
  <si>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</si>
  <si>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</si>
  <si>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</si>
  <si>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</si>
  <si>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</si>
  <si>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</si>
  <si>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</si>
  <si>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</si>
  <si>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</si>
  <si>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</si>
  <si>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</si>
  <si>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</si>
  <si>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</si>
  <si>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</si>
  <si>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</si>
  <si>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</si>
  <si>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</si>
  <si>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</si>
  <si>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</si>
  <si>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</si>
  <si>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</si>
  <si>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</si>
  <si>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</si>
  <si>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</si>
  <si>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</si>
  <si>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</si>
  <si>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</si>
  <si>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</si>
  <si>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</si>
  <si>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</si>
  <si>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</si>
  <si>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</si>
  <si>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</si>
  <si>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</si>
  <si>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</si>
  <si>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</si>
  <si>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</si>
  <si>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</si>
  <si>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</si>
  <si>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</si>
  <si>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</si>
  <si>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</si>
  <si>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</si>
  <si>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</si>
  <si>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</si>
  <si>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</si>
  <si>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</si>
  <si>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</si>
  <si>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</si>
  <si>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</si>
  <si>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</si>
  <si>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</si>
  <si>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</si>
  <si>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</si>
  <si>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</si>
  <si>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</si>
  <si>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</si>
  <si>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</si>
  <si>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</si>
  <si>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</si>
  <si>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</si>
  <si>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</si>
  <si>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</si>
  <si>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</si>
  <si>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</si>
  <si>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</si>
  <si>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</si>
  <si>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</si>
  <si>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</si>
  <si>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</si>
  <si>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</si>
  <si>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</si>
  <si>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</si>
  <si>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</si>
  <si>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</si>
  <si>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</si>
  <si>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</si>
  <si>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</si>
  <si>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</si>
  <si>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</si>
  <si>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</si>
  <si>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</si>
  <si>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</si>
  <si>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</si>
  <si>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</si>
  <si>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</si>
  <si>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</si>
  <si>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</si>
  <si>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</si>
  <si>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</si>
  <si>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</si>
  <si>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</si>
  <si>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</si>
  <si>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</si>
  <si>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</si>
  <si>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</si>
  <si>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</si>
  <si>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</si>
  <si>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</si>
  <si>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</si>
  <si>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</si>
  <si>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</si>
  <si>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</si>
  <si>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</si>
  <si>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</si>
  <si>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</si>
  <si>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</si>
  <si>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</si>
  <si>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</si>
  <si>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</si>
  <si>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</si>
  <si>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</si>
  <si>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</si>
  <si>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</si>
  <si>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</si>
  <si>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</si>
  <si>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</si>
  <si>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</si>
  <si>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</si>
  <si>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</si>
  <si>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</si>
  <si>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</si>
  <si>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</si>
  <si>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</si>
  <si>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</si>
  <si>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</si>
  <si>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</si>
  <si>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</si>
  <si>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</si>
  <si>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</si>
  <si>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</si>
  <si>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</si>
  <si>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</si>
  <si>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</si>
  <si>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</si>
  <si>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</si>
  <si>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</si>
  <si>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</si>
  <si>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</si>
  <si>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</si>
  <si>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</si>
  <si>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</si>
  <si>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</si>
  <si>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</si>
  <si>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</si>
  <si>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</si>
  <si>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</si>
  <si>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</si>
  <si>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</si>
  <si>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</si>
  <si>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</si>
  <si>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</si>
  <si>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</si>
  <si>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</si>
  <si>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</si>
  <si>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</si>
  <si>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</si>
  <si>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</si>
  <si>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</si>
  <si>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</si>
  <si>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</si>
  <si>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</si>
  <si>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</si>
  <si>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</si>
  <si>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</si>
  <si>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</si>
  <si>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</si>
  <si>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</si>
  <si>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</si>
  <si>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</si>
  <si>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</si>
  <si>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</si>
  <si>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</si>
  <si>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</si>
  <si>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</si>
  <si>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</si>
  <si>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</si>
  <si>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</si>
  <si>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</si>
  <si>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</si>
  <si>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</si>
  <si>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</si>
  <si>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</si>
  <si>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</si>
  <si>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</si>
  <si>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</si>
  <si>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</si>
  <si>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</si>
  <si>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</si>
  <si>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</si>
  <si>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</si>
  <si>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</si>
  <si>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</si>
  <si>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</si>
  <si>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</si>
  <si>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</si>
  <si>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</si>
  <si>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</si>
  <si>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</si>
  <si>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</si>
  <si>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</si>
  <si>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</si>
  <si>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</si>
  <si>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</si>
  <si>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</si>
  <si>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</si>
  <si>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</si>
  <si>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</si>
  <si>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</si>
  <si>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</si>
  <si>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</si>
  <si>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</si>
  <si>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</si>
  <si>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</si>
  <si>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</si>
  <si>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</si>
  <si>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</si>
  <si>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</si>
  <si>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</si>
  <si>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</si>
  <si>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</si>
  <si>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</si>
  <si>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</si>
  <si>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</si>
  <si>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</si>
  <si>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</si>
  <si>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</si>
  <si>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</si>
  <si>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</si>
  <si>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</si>
  <si>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</si>
  <si>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</si>
  <si>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</si>
  <si>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</si>
  <si>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</si>
  <si>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</si>
  <si>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</si>
  <si>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</si>
  <si>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</si>
  <si>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</si>
  <si>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</si>
  <si>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</si>
  <si>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</si>
  <si>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</si>
  <si>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</si>
  <si>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</si>
  <si>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</si>
  <si>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</si>
  <si>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</si>
  <si>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</si>
  <si>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</si>
  <si>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</si>
  <si>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</si>
  <si>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</si>
  <si>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</si>
  <si>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</si>
  <si>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</si>
  <si>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</si>
  <si>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</si>
  <si>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</si>
  <si>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</si>
  <si>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</si>
  <si>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</si>
  <si>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</si>
  <si>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</si>
  <si>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</si>
  <si>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</si>
  <si>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</si>
  <si>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</si>
  <si>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</si>
  <si>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</si>
  <si>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</si>
  <si>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</si>
  <si>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</si>
  <si>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</si>
  <si>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</si>
  <si>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</si>
  <si>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</si>
  <si>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</si>
  <si>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</si>
  <si>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</si>
  <si>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</si>
  <si>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</si>
  <si>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</si>
  <si>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</si>
  <si>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</si>
  <si>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</si>
  <si>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</si>
  <si>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</si>
  <si>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</si>
  <si>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</si>
  <si>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</si>
  <si>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</si>
  <si>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</si>
  <si>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</si>
  <si>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</si>
  <si>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</si>
  <si>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</si>
  <si>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</si>
  <si>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</si>
  <si>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</si>
  <si>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</si>
  <si>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</si>
  <si>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</si>
  <si>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</si>
  <si>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</si>
  <si>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</si>
  <si>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</si>
  <si>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</si>
  <si>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</si>
  <si>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</si>
  <si>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</si>
  <si>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</si>
  <si>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</si>
  <si>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</si>
  <si>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</si>
  <si>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</si>
  <si>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</si>
  <si>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</si>
  <si>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</si>
  <si>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</si>
  <si>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</si>
  <si>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</si>
  <si>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</si>
  <si>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</si>
  <si>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</si>
  <si>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</si>
  <si>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</si>
  <si>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</si>
  <si>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</si>
  <si>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</si>
  <si>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</si>
  <si>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</si>
  <si>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</si>
  <si>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</si>
  <si>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</si>
  <si>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</si>
  <si>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</si>
  <si>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</si>
  <si>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</si>
  <si>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</si>
  <si>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</si>
  <si>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</si>
  <si>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</si>
  <si>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</si>
  <si>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</si>
  <si>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</si>
  <si>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</si>
  <si>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</si>
  <si>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</si>
  <si>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</si>
  <si>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</si>
  <si>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</si>
  <si>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</si>
  <si>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</si>
  <si>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</si>
  <si>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</si>
  <si>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</si>
  <si>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</si>
  <si>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</si>
  <si>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</si>
  <si>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</si>
  <si>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</si>
  <si>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</si>
  <si>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</si>
  <si>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</si>
  <si>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</si>
  <si>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</si>
  <si>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</si>
  <si>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</si>
  <si>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</si>
  <si>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</si>
  <si>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</si>
  <si>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</si>
  <si>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</si>
  <si>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</si>
  <si>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</si>
  <si>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</si>
  <si>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</si>
  <si>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</si>
  <si>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</si>
  <si>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</si>
  <si>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</si>
  <si>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</si>
  <si>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</si>
  <si>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</si>
  <si>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</si>
  <si>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</si>
  <si>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</si>
  <si>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</si>
  <si>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</si>
  <si>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</si>
  <si>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</si>
  <si>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</si>
  <si>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</si>
  <si>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</si>
  <si>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</si>
  <si>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</si>
  <si>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</si>
  <si>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</si>
  <si>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</si>
  <si>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</si>
  <si>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</si>
  <si>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</si>
  <si>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</si>
  <si>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</si>
  <si>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</si>
  <si>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</si>
  <si>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</si>
  <si>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</si>
  <si>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</si>
  <si>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</si>
  <si>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</si>
  <si>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</si>
  <si>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</si>
  <si>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</si>
  <si>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</si>
  <si>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</si>
  <si>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</si>
  <si>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</si>
  <si>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</si>
  <si>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</si>
  <si>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</si>
  <si>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</si>
  <si>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</si>
  <si>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</si>
  <si>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</si>
  <si>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</si>
  <si>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</si>
  <si>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</si>
  <si>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</si>
  <si>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</si>
  <si>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</si>
  <si>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</si>
  <si>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</si>
  <si>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</si>
  <si>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</si>
  <si>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</si>
  <si>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</si>
  <si>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</si>
  <si>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</si>
  <si>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</si>
  <si>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</si>
  <si>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</si>
  <si>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</si>
  <si>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</si>
  <si>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</si>
  <si>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</si>
  <si>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</si>
  <si>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</si>
  <si>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</si>
  <si>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</si>
  <si>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</si>
  <si>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</si>
  <si>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</si>
  <si>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</si>
  <si>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</si>
  <si>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</si>
  <si>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</si>
  <si>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</si>
  <si>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</si>
  <si>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</si>
  <si>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</si>
  <si>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</si>
  <si>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</si>
  <si>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</si>
  <si>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</si>
  <si>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</si>
  <si>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</si>
  <si>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</si>
  <si>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</si>
  <si>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</si>
  <si>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</si>
  <si>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</si>
  <si>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</si>
  <si>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</si>
  <si>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</si>
  <si>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</si>
  <si>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</si>
  <si>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</si>
  <si>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</si>
  <si>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</si>
  <si>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</si>
  <si>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</si>
  <si>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</si>
  <si>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</si>
  <si>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</si>
  <si>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</si>
  <si>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</si>
  <si>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</si>
  <si>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</si>
  <si>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</si>
  <si>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</si>
  <si>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</si>
  <si>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</si>
  <si>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</si>
  <si>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</si>
  <si>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</si>
  <si>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</si>
  <si>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</si>
  <si>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</si>
  <si>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</si>
  <si>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</si>
  <si>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</si>
  <si>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</si>
  <si>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</si>
  <si>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</si>
  <si>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</si>
  <si>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</si>
  <si>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</si>
  <si>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</si>
  <si>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</si>
  <si>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</si>
  <si>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</si>
  <si>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</si>
  <si>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</si>
  <si>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</si>
  <si>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</si>
  <si>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</si>
  <si>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</si>
  <si>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</si>
  <si>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</si>
  <si>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</si>
  <si>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</si>
  <si>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</si>
  <si>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</si>
  <si>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</si>
  <si>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</si>
  <si>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</si>
  <si>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</si>
  <si>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</si>
  <si>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</si>
  <si>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</si>
  <si>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</si>
  <si>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</si>
  <si>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</si>
  <si>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</si>
  <si>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</si>
  <si>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</si>
  <si>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</si>
  <si>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</si>
  <si>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</si>
  <si>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</si>
  <si>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</si>
  <si>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</si>
  <si>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</si>
  <si>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</si>
  <si>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</si>
  <si>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</si>
  <si>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</si>
  <si>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</si>
  <si>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</si>
  <si>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</si>
  <si>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</si>
  <si>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</si>
  <si>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</si>
  <si>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</si>
  <si>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</si>
  <si>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</si>
  <si>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</si>
  <si>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</si>
  <si>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</si>
  <si>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</si>
  <si>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</si>
  <si>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</si>
  <si>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</si>
  <si>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</si>
  <si>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</si>
  <si>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</si>
  <si>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</si>
  <si>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</si>
  <si>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</si>
  <si>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</si>
  <si>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</si>
  <si>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</si>
  <si>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</si>
  <si>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</si>
  <si>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</si>
  <si>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</si>
  <si>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</si>
  <si>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</si>
  <si>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</si>
  <si>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</si>
  <si>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</si>
  <si>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</si>
  <si>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</si>
  <si>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</si>
  <si>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</si>
  <si>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</si>
  <si>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</si>
  <si>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</si>
  <si>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</si>
  <si>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</si>
  <si>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</si>
  <si>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</si>
  <si>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</si>
  <si>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</si>
  <si>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</si>
  <si>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</si>
  <si>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</si>
  <si>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</si>
  <si>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</si>
  <si>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</si>
  <si>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</si>
  <si>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</si>
  <si>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</si>
  <si>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</si>
  <si>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</si>
  <si>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</si>
  <si>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</si>
  <si>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</si>
  <si>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</si>
  <si>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</si>
  <si>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</si>
  <si>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</si>
  <si>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</si>
  <si>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</si>
  <si>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</si>
  <si>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</si>
  <si>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</si>
  <si>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</si>
  <si>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</si>
  <si>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</si>
  <si>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</si>
  <si>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</si>
  <si>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</si>
  <si>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</si>
  <si>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</si>
  <si>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</si>
  <si>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</si>
  <si>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</si>
  <si>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</si>
  <si>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</si>
  <si>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</si>
  <si>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</si>
  <si>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</si>
  <si>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</si>
  <si>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</si>
  <si>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</si>
  <si>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</si>
  <si>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</si>
  <si>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</si>
  <si>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</si>
  <si>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</si>
  <si>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</si>
  <si>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</si>
  <si>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</si>
  <si>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</si>
  <si>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</si>
  <si>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</si>
  <si>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</si>
  <si>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</si>
  <si>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</si>
  <si>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</si>
  <si>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</si>
  <si>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</si>
  <si>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</si>
  <si>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</si>
  <si>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</si>
  <si>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</si>
  <si>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</si>
  <si>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</si>
  <si>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</si>
  <si>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</si>
  <si>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</si>
  <si>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</si>
  <si>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</si>
  <si>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</si>
  <si>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</si>
  <si>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</si>
  <si>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</si>
  <si>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</si>
  <si>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</si>
  <si>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</si>
  <si>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</si>
  <si>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</si>
  <si>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</si>
  <si>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</si>
  <si>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</si>
  <si>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</si>
  <si>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</si>
  <si>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</si>
  <si>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</si>
  <si>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</si>
  <si>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</si>
  <si>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</si>
  <si>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</si>
  <si>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</si>
  <si>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</si>
  <si>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</si>
  <si>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</si>
  <si>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</si>
  <si>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</si>
  <si>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</si>
  <si>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</si>
  <si>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</si>
  <si>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</si>
  <si>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</si>
  <si>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</si>
  <si>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</si>
  <si>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</si>
  <si>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</si>
  <si>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</si>
  <si>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</si>
  <si>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</si>
  <si>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</si>
  <si>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</si>
  <si>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</si>
  <si>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</si>
  <si>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</si>
  <si>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</si>
  <si>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</si>
  <si>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</si>
  <si>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</si>
  <si>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</si>
  <si>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</si>
  <si>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</si>
  <si>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</si>
  <si>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</si>
  <si>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</si>
  <si>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</si>
  <si>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</si>
  <si>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</si>
  <si>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</si>
  <si>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</si>
  <si>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</si>
  <si>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</si>
  <si>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</si>
  <si>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</si>
  <si>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</si>
  <si>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</si>
  <si>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</si>
  <si>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</si>
  <si>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</si>
  <si>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</si>
  <si>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</si>
  <si>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</si>
  <si>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</si>
  <si>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</si>
  <si>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</si>
  <si>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</si>
  <si>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</si>
  <si>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</si>
  <si>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</si>
  <si>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</si>
  <si>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</si>
  <si>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</si>
  <si>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</si>
  <si>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</si>
  <si>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</si>
  <si>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</si>
  <si>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</si>
  <si>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</si>
  <si>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</si>
  <si>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</si>
  <si>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</si>
  <si>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</si>
  <si>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</si>
  <si>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</si>
  <si>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</si>
  <si>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</si>
  <si>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</si>
  <si>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</si>
  <si>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</si>
  <si>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</si>
  <si>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</si>
  <si>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</si>
  <si>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</si>
  <si>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</si>
  <si>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</si>
  <si>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</si>
  <si>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</si>
  <si>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</si>
  <si>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</si>
  <si>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</si>
  <si>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</si>
  <si>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</si>
  <si>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</si>
  <si>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</si>
  <si>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</si>
  <si>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</si>
  <si>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</si>
  <si>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</si>
  <si>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</si>
  <si>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</si>
  <si>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</si>
  <si>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</si>
  <si>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</si>
  <si>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</si>
  <si>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</si>
  <si>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</si>
  <si>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</si>
  <si>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</si>
  <si>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</si>
  <si>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</si>
  <si>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</si>
  <si>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</si>
  <si>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</si>
  <si>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</si>
  <si>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</si>
  <si>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</si>
  <si>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</si>
  <si>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</si>
  <si>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</si>
  <si>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</si>
  <si>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</si>
  <si>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</si>
  <si>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</si>
  <si>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</si>
  <si>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</si>
  <si>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</si>
  <si>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</si>
  <si>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</si>
  <si>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</si>
  <si>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</si>
  <si>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</si>
  <si>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</si>
  <si>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</si>
  <si>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</si>
  <si>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</si>
  <si>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</si>
  <si>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</si>
  <si>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</si>
  <si>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</si>
  <si>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</si>
  <si>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</si>
  <si>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</si>
  <si>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</si>
  <si>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</si>
  <si>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</si>
  <si>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</si>
  <si>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</si>
  <si>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</si>
  <si>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</si>
  <si>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</si>
  <si>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</si>
  <si>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</si>
  <si>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PEMI-BAKER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</si>
</sst>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23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428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731772.03</v>
      </c>
      <c r="G9" s="18">
        <v>-45514.99</v>
      </c>
      <c r="H9" s="18">
        <v>-23962.02</v>
      </c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3309.39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10000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194012.67</v>
      </c>
      <c r="G13" s="18">
        <v>31036.41</v>
      </c>
      <c r="H13" s="18">
        <v>19418.27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13901.81</v>
      </c>
      <c r="G14" s="18">
        <v>21386.5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>
        <v>6619.2</v>
      </c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949686.51000000013</v>
      </c>
      <c r="G19" s="41">
        <f>SUM(G9:G18)</f>
        <v>6907.9200000000019</v>
      </c>
      <c r="H19" s="41">
        <f>SUM(H9:H18)</f>
        <v>2075.4499999999998</v>
      </c>
      <c r="I19" s="41">
        <f>SUM(I9:I18)</f>
        <v>0</v>
      </c>
      <c r="J19" s="41">
        <f>SUM(J9:J18)</f>
        <v>3309.39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140394.60999999999</v>
      </c>
      <c r="G24" s="18"/>
      <c r="H24" s="18">
        <v>2075.4499999999998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65320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205714.61</v>
      </c>
      <c r="G32" s="41">
        <f>SUM(G22:G31)</f>
        <v>0</v>
      </c>
      <c r="H32" s="41">
        <f>SUM(H22:H31)</f>
        <v>2075.4499999999998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619964.05000000005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6907.92</v>
      </c>
      <c r="H47" s="18"/>
      <c r="I47" s="18"/>
      <c r="J47" s="13">
        <f>SUM(I458)</f>
        <v>3309.39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124007.85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743971.9</v>
      </c>
      <c r="G50" s="41">
        <f>SUM(G35:G49)</f>
        <v>6907.92</v>
      </c>
      <c r="H50" s="41">
        <f>SUM(H35:H49)</f>
        <v>0</v>
      </c>
      <c r="I50" s="41">
        <f>SUM(I35:I49)</f>
        <v>0</v>
      </c>
      <c r="J50" s="41">
        <f>SUM(J35:J49)</f>
        <v>3309.39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949686.51</v>
      </c>
      <c r="G51" s="41">
        <f>G50+G32</f>
        <v>6907.92</v>
      </c>
      <c r="H51" s="41">
        <f>H50+H32</f>
        <v>2075.4499999999998</v>
      </c>
      <c r="I51" s="41">
        <f>I50+I32</f>
        <v>0</v>
      </c>
      <c r="J51" s="41">
        <f>J50+J32</f>
        <v>3309.39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6477014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6477014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14622.5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175020.97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32187.42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221830.89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2073.7199999999998</v>
      </c>
      <c r="G95" s="18"/>
      <c r="H95" s="18"/>
      <c r="I95" s="18"/>
      <c r="J95" s="18">
        <v>1.58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201357.5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30000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301001.86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333075.57999999996</v>
      </c>
      <c r="G110" s="41">
        <f>SUM(G95:G109)</f>
        <v>201357.5</v>
      </c>
      <c r="H110" s="41">
        <f>SUM(H95:H109)</f>
        <v>0</v>
      </c>
      <c r="I110" s="41">
        <f>SUM(I95:I109)</f>
        <v>0</v>
      </c>
      <c r="J110" s="41">
        <f>SUM(J95:J109)</f>
        <v>1.58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7031920.4699999997</v>
      </c>
      <c r="G111" s="41">
        <f>G59+G110</f>
        <v>201357.5</v>
      </c>
      <c r="H111" s="41">
        <f>H59+H78+H93+H110</f>
        <v>0</v>
      </c>
      <c r="I111" s="41">
        <f>I59+I110</f>
        <v>0</v>
      </c>
      <c r="J111" s="41">
        <f>J59+J110</f>
        <v>1.58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2715083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1946476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4661559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53788.78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76627.47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2857.06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130416.25</v>
      </c>
      <c r="G135" s="41">
        <f>SUM(G122:G134)</f>
        <v>2857.06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4791975.25</v>
      </c>
      <c r="G139" s="41">
        <f>G120+SUM(G135:G136)</f>
        <v>2857.06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41257</v>
      </c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50976.05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92802.559999999998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4004.02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156171.57999999999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98276.69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139533.69</v>
      </c>
      <c r="G161" s="41">
        <f>SUM(G149:G160)</f>
        <v>156171.57999999999</v>
      </c>
      <c r="H161" s="41">
        <f>SUM(H149:H160)</f>
        <v>147782.62999999998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139533.69</v>
      </c>
      <c r="G168" s="41">
        <f>G146+G161+SUM(G162:G167)</f>
        <v>156171.57999999999</v>
      </c>
      <c r="H168" s="41">
        <f>H146+H161+SUM(H162:H167)</f>
        <v>147782.62999999998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11963429.409999998</v>
      </c>
      <c r="G192" s="47">
        <f>G111+G139+G168+G191</f>
        <v>360386.14</v>
      </c>
      <c r="H192" s="47">
        <f>H111+H139+H168+H191</f>
        <v>147782.62999999998</v>
      </c>
      <c r="I192" s="47">
        <f>I111+I139+I168+I191</f>
        <v>0</v>
      </c>
      <c r="J192" s="47">
        <f>J111+J139+J191</f>
        <v>1.58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/>
      <c r="I196" s="18"/>
      <c r="J196" s="18"/>
      <c r="K196" s="18"/>
      <c r="L196" s="19">
        <f>SUM(F196:K196)</f>
        <v>0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/>
      <c r="I201" s="18"/>
      <c r="J201" s="18"/>
      <c r="K201" s="18"/>
      <c r="L201" s="19">
        <f t="shared" ref="L201:L207" si="0">SUM(F201:K201)</f>
        <v>0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0</v>
      </c>
      <c r="G210" s="41">
        <f t="shared" si="1"/>
        <v>0</v>
      </c>
      <c r="H210" s="41">
        <f t="shared" si="1"/>
        <v>0</v>
      </c>
      <c r="I210" s="41">
        <f t="shared" si="1"/>
        <v>0</v>
      </c>
      <c r="J210" s="41">
        <f t="shared" si="1"/>
        <v>0</v>
      </c>
      <c r="K210" s="41">
        <f t="shared" si="1"/>
        <v>0</v>
      </c>
      <c r="L210" s="41">
        <f t="shared" si="1"/>
        <v>0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3022365.15</v>
      </c>
      <c r="G232" s="18">
        <v>1477008.18</v>
      </c>
      <c r="H232" s="18">
        <v>97678.9</v>
      </c>
      <c r="I232" s="18">
        <v>157300.25</v>
      </c>
      <c r="J232" s="18">
        <v>35566.92</v>
      </c>
      <c r="K232" s="18">
        <v>558</v>
      </c>
      <c r="L232" s="19">
        <f>SUM(F232:K232)</f>
        <v>4790477.4000000004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744855.25</v>
      </c>
      <c r="G233" s="18">
        <v>411901.87</v>
      </c>
      <c r="H233" s="18">
        <v>367791.72</v>
      </c>
      <c r="I233" s="18">
        <v>11191.28</v>
      </c>
      <c r="J233" s="18"/>
      <c r="K233" s="18">
        <v>292</v>
      </c>
      <c r="L233" s="19">
        <f>SUM(F233:K233)</f>
        <v>1536032.12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242772.5</v>
      </c>
      <c r="G234" s="18">
        <v>112656.71</v>
      </c>
      <c r="H234" s="18">
        <v>6747.03</v>
      </c>
      <c r="I234" s="18">
        <v>24530.21</v>
      </c>
      <c r="J234" s="18">
        <v>3377.89</v>
      </c>
      <c r="K234" s="18">
        <v>1107</v>
      </c>
      <c r="L234" s="19">
        <f>SUM(F234:K234)</f>
        <v>391191.34000000008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229762.21</v>
      </c>
      <c r="G235" s="18">
        <v>45339.23</v>
      </c>
      <c r="H235" s="18">
        <v>101978.47</v>
      </c>
      <c r="I235" s="18">
        <v>57243.97</v>
      </c>
      <c r="J235" s="18">
        <v>72656.759999999995</v>
      </c>
      <c r="K235" s="18">
        <v>7845</v>
      </c>
      <c r="L235" s="19">
        <f>SUM(F235:K235)</f>
        <v>514825.64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564881.19999999995</v>
      </c>
      <c r="G237" s="18">
        <v>263220.15000000002</v>
      </c>
      <c r="H237" s="18">
        <v>127455.78</v>
      </c>
      <c r="I237" s="18">
        <v>5599.04</v>
      </c>
      <c r="J237" s="18"/>
      <c r="K237" s="18">
        <v>1703</v>
      </c>
      <c r="L237" s="19">
        <f t="shared" ref="L237:L243" si="4">SUM(F237:K237)</f>
        <v>962859.17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153058.07999999999</v>
      </c>
      <c r="G238" s="18">
        <v>146603.91</v>
      </c>
      <c r="H238" s="18">
        <v>9988.98</v>
      </c>
      <c r="I238" s="18">
        <v>27160.9</v>
      </c>
      <c r="J238" s="18">
        <v>3542.55</v>
      </c>
      <c r="K238" s="18"/>
      <c r="L238" s="19">
        <f t="shared" si="4"/>
        <v>340354.42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282638.58</v>
      </c>
      <c r="G239" s="18">
        <v>143880.43</v>
      </c>
      <c r="H239" s="18">
        <v>420137.09</v>
      </c>
      <c r="I239" s="18">
        <v>2956.15</v>
      </c>
      <c r="J239" s="18"/>
      <c r="K239" s="18">
        <v>4803.9799999999996</v>
      </c>
      <c r="L239" s="19">
        <f t="shared" si="4"/>
        <v>854416.2300000001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316946.09999999998</v>
      </c>
      <c r="G240" s="18">
        <v>203793.08</v>
      </c>
      <c r="H240" s="18">
        <v>15124.03</v>
      </c>
      <c r="I240" s="18">
        <v>1641.91</v>
      </c>
      <c r="J240" s="18"/>
      <c r="K240" s="18">
        <v>31013.7</v>
      </c>
      <c r="L240" s="19">
        <f t="shared" si="4"/>
        <v>568518.81999999995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>
        <v>528.47</v>
      </c>
      <c r="I241" s="18"/>
      <c r="J241" s="18"/>
      <c r="K241" s="18"/>
      <c r="L241" s="19">
        <f t="shared" si="4"/>
        <v>528.47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416805.28</v>
      </c>
      <c r="G242" s="18">
        <v>165224.66</v>
      </c>
      <c r="H242" s="18">
        <v>358867.55</v>
      </c>
      <c r="I242" s="18">
        <v>437002.83</v>
      </c>
      <c r="J242" s="18">
        <v>17043.259999999998</v>
      </c>
      <c r="K242" s="18"/>
      <c r="L242" s="19">
        <f t="shared" si="4"/>
        <v>1394943.58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448017.77</v>
      </c>
      <c r="I243" s="18"/>
      <c r="J243" s="18"/>
      <c r="K243" s="18"/>
      <c r="L243" s="19">
        <f t="shared" si="4"/>
        <v>448017.77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5974084.3500000006</v>
      </c>
      <c r="G246" s="41">
        <f t="shared" si="5"/>
        <v>2969628.22</v>
      </c>
      <c r="H246" s="41">
        <f t="shared" si="5"/>
        <v>1954315.79</v>
      </c>
      <c r="I246" s="41">
        <f t="shared" si="5"/>
        <v>724626.54</v>
      </c>
      <c r="J246" s="41">
        <f t="shared" si="5"/>
        <v>132187.38</v>
      </c>
      <c r="K246" s="41">
        <f t="shared" si="5"/>
        <v>47322.68</v>
      </c>
      <c r="L246" s="41">
        <f t="shared" si="5"/>
        <v>11802164.960000001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154700.99</v>
      </c>
      <c r="I254" s="18"/>
      <c r="J254" s="18"/>
      <c r="K254" s="18"/>
      <c r="L254" s="19">
        <f t="shared" si="6"/>
        <v>154700.99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154700.99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154700.99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5974084.3500000006</v>
      </c>
      <c r="G256" s="41">
        <f t="shared" si="8"/>
        <v>2969628.22</v>
      </c>
      <c r="H256" s="41">
        <f t="shared" si="8"/>
        <v>2109016.7800000003</v>
      </c>
      <c r="I256" s="41">
        <f t="shared" si="8"/>
        <v>724626.54</v>
      </c>
      <c r="J256" s="41">
        <f t="shared" si="8"/>
        <v>132187.38</v>
      </c>
      <c r="K256" s="41">
        <f t="shared" si="8"/>
        <v>47322.68</v>
      </c>
      <c r="L256" s="41">
        <f t="shared" si="8"/>
        <v>11956865.950000001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0</v>
      </c>
      <c r="L269" s="41">
        <f t="shared" si="9"/>
        <v>0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5974084.3500000006</v>
      </c>
      <c r="G270" s="42">
        <f t="shared" si="11"/>
        <v>2969628.22</v>
      </c>
      <c r="H270" s="42">
        <f t="shared" si="11"/>
        <v>2109016.7800000003</v>
      </c>
      <c r="I270" s="42">
        <f t="shared" si="11"/>
        <v>724626.54</v>
      </c>
      <c r="J270" s="42">
        <f t="shared" si="11"/>
        <v>132187.38</v>
      </c>
      <c r="K270" s="42">
        <f t="shared" si="11"/>
        <v>47322.68</v>
      </c>
      <c r="L270" s="42">
        <f t="shared" si="11"/>
        <v>11956865.950000001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27524.95</v>
      </c>
      <c r="G313" s="18">
        <v>6200</v>
      </c>
      <c r="H313" s="18"/>
      <c r="I313" s="18"/>
      <c r="J313" s="18">
        <v>14358.9</v>
      </c>
      <c r="K313" s="18"/>
      <c r="L313" s="19">
        <f>SUM(F313:K313)</f>
        <v>48083.85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30364</v>
      </c>
      <c r="G315" s="18">
        <v>12755.74</v>
      </c>
      <c r="H315" s="18">
        <v>521.20000000000005</v>
      </c>
      <c r="I315" s="18">
        <v>272.64</v>
      </c>
      <c r="J315" s="18">
        <v>42460.73</v>
      </c>
      <c r="K315" s="18">
        <v>5979.85</v>
      </c>
      <c r="L315" s="19">
        <f>SUM(F315:K315)</f>
        <v>92354.16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>
        <v>969.02</v>
      </c>
      <c r="J318" s="18"/>
      <c r="K318" s="18"/>
      <c r="L318" s="19">
        <f t="shared" ref="L318:L324" si="16">SUM(F318:K318)</f>
        <v>969.02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>
        <v>1500</v>
      </c>
      <c r="H319" s="18">
        <v>448.4</v>
      </c>
      <c r="I319" s="18">
        <v>1120</v>
      </c>
      <c r="J319" s="18"/>
      <c r="K319" s="18"/>
      <c r="L319" s="19">
        <f t="shared" si="16"/>
        <v>3068.4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1000</v>
      </c>
      <c r="G320" s="18"/>
      <c r="H320" s="18"/>
      <c r="I320" s="18"/>
      <c r="J320" s="18"/>
      <c r="K320" s="18"/>
      <c r="L320" s="19">
        <f t="shared" si="16"/>
        <v>1000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>
        <v>2307.1999999999998</v>
      </c>
      <c r="L322" s="19">
        <f t="shared" si="16"/>
        <v>2307.1999999999998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58888.95</v>
      </c>
      <c r="G327" s="42">
        <f t="shared" si="17"/>
        <v>20455.739999999998</v>
      </c>
      <c r="H327" s="42">
        <f t="shared" si="17"/>
        <v>969.6</v>
      </c>
      <c r="I327" s="42">
        <f t="shared" si="17"/>
        <v>2361.66</v>
      </c>
      <c r="J327" s="42">
        <f t="shared" si="17"/>
        <v>56819.630000000005</v>
      </c>
      <c r="K327" s="42">
        <f t="shared" si="17"/>
        <v>8287.0499999999993</v>
      </c>
      <c r="L327" s="41">
        <f t="shared" si="17"/>
        <v>147782.63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58888.95</v>
      </c>
      <c r="G337" s="41">
        <f t="shared" si="20"/>
        <v>20455.739999999998</v>
      </c>
      <c r="H337" s="41">
        <f t="shared" si="20"/>
        <v>969.6</v>
      </c>
      <c r="I337" s="41">
        <f t="shared" si="20"/>
        <v>2361.66</v>
      </c>
      <c r="J337" s="41">
        <f t="shared" si="20"/>
        <v>56819.630000000005</v>
      </c>
      <c r="K337" s="41">
        <f t="shared" si="20"/>
        <v>8287.0499999999993</v>
      </c>
      <c r="L337" s="41">
        <f t="shared" si="20"/>
        <v>147782.63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58888.95</v>
      </c>
      <c r="G351" s="41">
        <f>G337</f>
        <v>20455.739999999998</v>
      </c>
      <c r="H351" s="41">
        <f>H337</f>
        <v>969.6</v>
      </c>
      <c r="I351" s="41">
        <f>I337</f>
        <v>2361.66</v>
      </c>
      <c r="J351" s="41">
        <f>J337</f>
        <v>56819.630000000005</v>
      </c>
      <c r="K351" s="47">
        <f>K337+K350</f>
        <v>8287.0499999999993</v>
      </c>
      <c r="L351" s="41">
        <f>L337+L350</f>
        <v>147782.63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>
        <v>357966.6</v>
      </c>
      <c r="I359" s="18"/>
      <c r="J359" s="18"/>
      <c r="K359" s="18"/>
      <c r="L359" s="19">
        <f>SUM(F359:K359)</f>
        <v>357966.6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357966.6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357966.6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0.75</v>
      </c>
      <c r="I388" s="18"/>
      <c r="J388" s="24" t="s">
        <v>289</v>
      </c>
      <c r="K388" s="24" t="s">
        <v>289</v>
      </c>
      <c r="L388" s="56">
        <f t="shared" si="25"/>
        <v>0.75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0.75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0.75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0.83</v>
      </c>
      <c r="I396" s="18"/>
      <c r="J396" s="24" t="s">
        <v>289</v>
      </c>
      <c r="K396" s="24" t="s">
        <v>289</v>
      </c>
      <c r="L396" s="56">
        <f t="shared" si="26"/>
        <v>0.83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0.83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0.83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1.58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1.58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3309.39</v>
      </c>
      <c r="G439" s="18"/>
      <c r="H439" s="18"/>
      <c r="I439" s="56">
        <f t="shared" si="33"/>
        <v>3309.39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3309.39</v>
      </c>
      <c r="G445" s="13">
        <f>SUM(G438:G444)</f>
        <v>0</v>
      </c>
      <c r="H445" s="13">
        <f>SUM(H438:H444)</f>
        <v>0</v>
      </c>
      <c r="I445" s="13">
        <f>SUM(I438:I444)</f>
        <v>3309.39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3309.39</v>
      </c>
      <c r="G458" s="18"/>
      <c r="H458" s="18"/>
      <c r="I458" s="56">
        <f t="shared" si="34"/>
        <v>3309.39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3309.39</v>
      </c>
      <c r="G459" s="83">
        <f>SUM(G453:G458)</f>
        <v>0</v>
      </c>
      <c r="H459" s="83">
        <f>SUM(H453:H458)</f>
        <v>0</v>
      </c>
      <c r="I459" s="83">
        <f>SUM(I453:I458)</f>
        <v>3309.39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3309.39</v>
      </c>
      <c r="G460" s="42">
        <f>G451+G459</f>
        <v>0</v>
      </c>
      <c r="H460" s="42">
        <f>H451+H459</f>
        <v>0</v>
      </c>
      <c r="I460" s="42">
        <f>I451+I459</f>
        <v>3309.39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737408.44</v>
      </c>
      <c r="G464" s="18">
        <v>4488.38</v>
      </c>
      <c r="H464" s="18">
        <v>0</v>
      </c>
      <c r="I464" s="18">
        <v>0</v>
      </c>
      <c r="J464" s="18">
        <v>3307.81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11963429.41</v>
      </c>
      <c r="G467" s="18">
        <v>360386.14</v>
      </c>
      <c r="H467" s="18">
        <v>147782.63</v>
      </c>
      <c r="I467" s="18">
        <v>0</v>
      </c>
      <c r="J467" s="18">
        <v>1.58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11963429.41</v>
      </c>
      <c r="G469" s="53">
        <f>SUM(G467:G468)</f>
        <v>360386.14</v>
      </c>
      <c r="H469" s="53">
        <f>SUM(H467:H468)</f>
        <v>147782.63</v>
      </c>
      <c r="I469" s="53">
        <f>SUM(I467:I468)</f>
        <v>0</v>
      </c>
      <c r="J469" s="53">
        <f>SUM(J467:J468)</f>
        <v>1.58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11956865.949999999</v>
      </c>
      <c r="G471" s="18">
        <v>357966.6</v>
      </c>
      <c r="H471" s="18">
        <v>147782.63</v>
      </c>
      <c r="I471" s="18">
        <v>0</v>
      </c>
      <c r="J471" s="18">
        <v>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11956865.949999999</v>
      </c>
      <c r="G473" s="53">
        <f>SUM(G471:G472)</f>
        <v>357966.6</v>
      </c>
      <c r="H473" s="53">
        <f>SUM(H471:H472)</f>
        <v>147782.63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743971.90000000037</v>
      </c>
      <c r="G475" s="53">
        <f>(G464+G469)- G473</f>
        <v>6907.9200000000419</v>
      </c>
      <c r="H475" s="53">
        <f>(H464+H469)- H473</f>
        <v>0</v>
      </c>
      <c r="I475" s="53">
        <f>(I464+I469)- I473</f>
        <v>0</v>
      </c>
      <c r="J475" s="53">
        <f>(J464+J469)- J473</f>
        <v>3309.39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/>
      <c r="I520" s="18"/>
      <c r="J520" s="18"/>
      <c r="K520" s="18"/>
      <c r="L520" s="88">
        <f>SUM(F520:K520)</f>
        <v>0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615471.25</v>
      </c>
      <c r="G522" s="18">
        <v>345783.6</v>
      </c>
      <c r="H522" s="18">
        <v>31181.22</v>
      </c>
      <c r="I522" s="18">
        <v>11191.28</v>
      </c>
      <c r="J522" s="18"/>
      <c r="K522" s="18">
        <v>292</v>
      </c>
      <c r="L522" s="88">
        <f>SUM(F522:K522)</f>
        <v>1003919.35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615471.25</v>
      </c>
      <c r="G523" s="108">
        <f t="shared" ref="G523:L523" si="36">SUM(G520:G522)</f>
        <v>345783.6</v>
      </c>
      <c r="H523" s="108">
        <f t="shared" si="36"/>
        <v>31181.22</v>
      </c>
      <c r="I523" s="108">
        <f t="shared" si="36"/>
        <v>11191.28</v>
      </c>
      <c r="J523" s="108">
        <f t="shared" si="36"/>
        <v>0</v>
      </c>
      <c r="K523" s="108">
        <f t="shared" si="36"/>
        <v>292</v>
      </c>
      <c r="L523" s="89">
        <f t="shared" si="36"/>
        <v>1003919.35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186442.2</v>
      </c>
      <c r="G527" s="18">
        <v>83208.02</v>
      </c>
      <c r="H527" s="18">
        <v>39751.5</v>
      </c>
      <c r="I527" s="18">
        <v>2822.28</v>
      </c>
      <c r="J527" s="18"/>
      <c r="K527" s="18">
        <v>944</v>
      </c>
      <c r="L527" s="88">
        <f>SUM(F527:K527)</f>
        <v>313168.00000000006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186442.2</v>
      </c>
      <c r="G528" s="89">
        <f t="shared" ref="G528:L528" si="37">SUM(G525:G527)</f>
        <v>83208.02</v>
      </c>
      <c r="H528" s="89">
        <f t="shared" si="37"/>
        <v>39751.5</v>
      </c>
      <c r="I528" s="89">
        <f t="shared" si="37"/>
        <v>2822.28</v>
      </c>
      <c r="J528" s="89">
        <f t="shared" si="37"/>
        <v>0</v>
      </c>
      <c r="K528" s="89">
        <f t="shared" si="37"/>
        <v>944</v>
      </c>
      <c r="L528" s="89">
        <f t="shared" si="37"/>
        <v>313168.00000000006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161014.32</v>
      </c>
      <c r="G532" s="18">
        <v>79770.64</v>
      </c>
      <c r="H532" s="18">
        <v>483.66</v>
      </c>
      <c r="I532" s="18"/>
      <c r="J532" s="18"/>
      <c r="K532" s="18"/>
      <c r="L532" s="88">
        <f>SUM(F532:K532)</f>
        <v>241268.62000000002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161014.32</v>
      </c>
      <c r="G533" s="89">
        <f t="shared" ref="G533:L533" si="38">SUM(G530:G532)</f>
        <v>79770.64</v>
      </c>
      <c r="H533" s="89">
        <f t="shared" si="38"/>
        <v>483.66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241268.62000000002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5598.5</v>
      </c>
      <c r="I537" s="18"/>
      <c r="J537" s="18"/>
      <c r="K537" s="18"/>
      <c r="L537" s="88">
        <f>SUM(F537:K537)</f>
        <v>5598.5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5598.5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5598.5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72298.47</v>
      </c>
      <c r="I542" s="18"/>
      <c r="J542" s="18"/>
      <c r="K542" s="18"/>
      <c r="L542" s="88">
        <f>SUM(F542:K542)</f>
        <v>72298.47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72298.47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72298.47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962927.77</v>
      </c>
      <c r="G544" s="89">
        <f t="shared" ref="G544:L544" si="41">G523+G528+G533+G538+G543</f>
        <v>508762.26</v>
      </c>
      <c r="H544" s="89">
        <f t="shared" si="41"/>
        <v>149313.35</v>
      </c>
      <c r="I544" s="89">
        <f t="shared" si="41"/>
        <v>14013.560000000001</v>
      </c>
      <c r="J544" s="89">
        <f t="shared" si="41"/>
        <v>0</v>
      </c>
      <c r="K544" s="89">
        <f t="shared" si="41"/>
        <v>1236</v>
      </c>
      <c r="L544" s="89">
        <f t="shared" si="41"/>
        <v>1636252.9400000002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0</v>
      </c>
      <c r="G548" s="87">
        <f>L525</f>
        <v>0</v>
      </c>
      <c r="H548" s="87">
        <f>L530</f>
        <v>0</v>
      </c>
      <c r="I548" s="87">
        <f>L535</f>
        <v>0</v>
      </c>
      <c r="J548" s="87">
        <f>L540</f>
        <v>0</v>
      </c>
      <c r="K548" s="87">
        <f>SUM(F548:J548)</f>
        <v>0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1003919.35</v>
      </c>
      <c r="G550" s="87">
        <f>L527</f>
        <v>313168.00000000006</v>
      </c>
      <c r="H550" s="87">
        <f>L532</f>
        <v>241268.62000000002</v>
      </c>
      <c r="I550" s="87">
        <f>L537</f>
        <v>5598.5</v>
      </c>
      <c r="J550" s="87">
        <f>L542</f>
        <v>72298.47</v>
      </c>
      <c r="K550" s="87">
        <f>SUM(F550:J550)</f>
        <v>1636252.9400000002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1003919.35</v>
      </c>
      <c r="G551" s="89">
        <f t="shared" si="42"/>
        <v>313168.00000000006</v>
      </c>
      <c r="H551" s="89">
        <f t="shared" si="42"/>
        <v>241268.62000000002</v>
      </c>
      <c r="I551" s="89">
        <f t="shared" si="42"/>
        <v>5598.5</v>
      </c>
      <c r="J551" s="89">
        <f t="shared" si="42"/>
        <v>72298.47</v>
      </c>
      <c r="K551" s="89">
        <f t="shared" si="42"/>
        <v>1636252.9400000002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>
        <v>290460.15000000002</v>
      </c>
      <c r="I581" s="87">
        <f t="shared" si="47"/>
        <v>290460.15000000002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/>
      <c r="I590" s="18"/>
      <c r="J590" s="18">
        <v>284958</v>
      </c>
      <c r="K590" s="104">
        <f t="shared" ref="K590:K596" si="48">SUM(H590:J590)</f>
        <v>284958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>
        <v>72298.47</v>
      </c>
      <c r="K591" s="104">
        <f t="shared" si="48"/>
        <v>72298.47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>
        <v>90761.3</v>
      </c>
      <c r="K594" s="104">
        <f t="shared" si="48"/>
        <v>90761.3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0</v>
      </c>
      <c r="I597" s="108">
        <f>SUM(I590:I596)</f>
        <v>0</v>
      </c>
      <c r="J597" s="108">
        <f>SUM(J590:J596)</f>
        <v>448017.76999999996</v>
      </c>
      <c r="K597" s="108">
        <f>SUM(K590:K596)</f>
        <v>448017.76999999996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>
        <v>189007.01</v>
      </c>
      <c r="K603" s="104">
        <f>SUM(H603:J603)</f>
        <v>189007.01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0</v>
      </c>
      <c r="J604" s="108">
        <f>SUM(J601:J603)</f>
        <v>189007.01</v>
      </c>
      <c r="K604" s="108">
        <f>SUM(K601:K603)</f>
        <v>189007.01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949686.51000000013</v>
      </c>
      <c r="H616" s="109">
        <f>SUM(F51)</f>
        <v>949686.51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6907.9200000000019</v>
      </c>
      <c r="H617" s="109">
        <f>SUM(G51)</f>
        <v>6907.92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2075.4499999999998</v>
      </c>
      <c r="H618" s="109">
        <f>SUM(H51)</f>
        <v>2075.4499999999998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3309.39</v>
      </c>
      <c r="H620" s="109">
        <f>SUM(J51)</f>
        <v>3309.39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743971.9</v>
      </c>
      <c r="H621" s="109">
        <f>F475</f>
        <v>743971.90000000037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6907.92</v>
      </c>
      <c r="H622" s="109">
        <f>G475</f>
        <v>6907.9200000000419</v>
      </c>
      <c r="I622" s="121" t="s">
        <v>102</v>
      </c>
      <c r="J622" s="109">
        <f t="shared" si="50"/>
        <v>-4.1836756281554699E-11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3309.39</v>
      </c>
      <c r="H625" s="109">
        <f>J475</f>
        <v>3309.39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11963429.409999998</v>
      </c>
      <c r="H626" s="104">
        <f>SUM(F467)</f>
        <v>11963429.41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360386.14</v>
      </c>
      <c r="H627" s="104">
        <f>SUM(G467)</f>
        <v>360386.14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147782.62999999998</v>
      </c>
      <c r="H628" s="104">
        <f>SUM(H467)</f>
        <v>147782.63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1.58</v>
      </c>
      <c r="H630" s="104">
        <f>SUM(J467)</f>
        <v>1.58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11956865.950000001</v>
      </c>
      <c r="H631" s="104">
        <f>SUM(F471)</f>
        <v>11956865.949999999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147782.63</v>
      </c>
      <c r="H632" s="104">
        <f>SUM(H471)</f>
        <v>147782.63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357966.6</v>
      </c>
      <c r="H634" s="104">
        <f>SUM(G471)</f>
        <v>357966.6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1.58</v>
      </c>
      <c r="H636" s="164">
        <f>SUM(J467)</f>
        <v>1.58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3309.39</v>
      </c>
      <c r="H638" s="104">
        <f>SUM(F460)</f>
        <v>3309.39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3309.39</v>
      </c>
      <c r="H641" s="104">
        <f>SUM(I460)</f>
        <v>3309.39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1.58</v>
      </c>
      <c r="H643" s="104">
        <f>H407</f>
        <v>1.58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1.58</v>
      </c>
      <c r="H645" s="104">
        <f>L407</f>
        <v>1.58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448017.76999999996</v>
      </c>
      <c r="H646" s="104">
        <f>L207+L225+L243</f>
        <v>448017.77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189007.01</v>
      </c>
      <c r="H647" s="104">
        <f>(J256+J337)-(J254+J335)</f>
        <v>189007.01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0</v>
      </c>
      <c r="H648" s="104">
        <f>H597</f>
        <v>0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448017.77</v>
      </c>
      <c r="H650" s="104">
        <f>J597</f>
        <v>448017.76999999996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0</v>
      </c>
      <c r="G659" s="19">
        <f>(L228+L308+L358)</f>
        <v>0</v>
      </c>
      <c r="H659" s="19">
        <f>(L246+L327+L359)</f>
        <v>12307914.190000001</v>
      </c>
      <c r="I659" s="19">
        <f>SUM(F659:H659)</f>
        <v>12307914.190000001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201357.5</v>
      </c>
      <c r="I660" s="19">
        <f>SUM(F660:H660)</f>
        <v>201357.5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0</v>
      </c>
      <c r="G661" s="19">
        <f>(L225+L305)-(J225+J305)</f>
        <v>0</v>
      </c>
      <c r="H661" s="19">
        <f>(L243+L324)-(J243+J324)</f>
        <v>448017.77</v>
      </c>
      <c r="I661" s="19">
        <f>SUM(F661:H661)</f>
        <v>448017.77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0</v>
      </c>
      <c r="G662" s="199">
        <f>SUM(G574:G586)+SUM(I601:I603)+L611</f>
        <v>0</v>
      </c>
      <c r="H662" s="199">
        <f>SUM(H574:H586)+SUM(J601:J603)+L612</f>
        <v>479467.16000000003</v>
      </c>
      <c r="I662" s="19">
        <f>SUM(F662:H662)</f>
        <v>479467.16000000003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0</v>
      </c>
      <c r="G663" s="19">
        <f>G659-SUM(G660:G662)</f>
        <v>0</v>
      </c>
      <c r="H663" s="19">
        <f>H659-SUM(H660:H662)</f>
        <v>11179071.760000002</v>
      </c>
      <c r="I663" s="19">
        <f>I659-SUM(I660:I662)</f>
        <v>11179071.760000002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/>
      <c r="G664" s="248"/>
      <c r="H664" s="248">
        <v>670.27</v>
      </c>
      <c r="I664" s="19">
        <f>SUM(F664:H664)</f>
        <v>670.27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>
        <f>ROUND(H663/H664,2)</f>
        <v>16678.46</v>
      </c>
      <c r="I666" s="19">
        <f>ROUND(I663/I664,2)</f>
        <v>16678.46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4.96</v>
      </c>
      <c r="I669" s="19">
        <f>SUM(F669:H669)</f>
        <v>4.96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>
        <f>ROUND((H663+H668)/(H664+H669),2)</f>
        <v>16555.95</v>
      </c>
      <c r="I671" s="19">
        <f>ROUND((I663+I668)/(I664+I669),2)</f>
        <v>16555.95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7" sqref="B3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PEMI-BAKER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3049890.1</v>
      </c>
      <c r="C9" s="229">
        <f>'DOE25'!G196+'DOE25'!G214+'DOE25'!G232+'DOE25'!G275+'DOE25'!G294+'DOE25'!G313</f>
        <v>1483208.18</v>
      </c>
    </row>
    <row r="10" spans="1:3" x14ac:dyDescent="0.2">
      <c r="A10" t="s">
        <v>779</v>
      </c>
      <c r="B10" s="240">
        <v>2946392.33</v>
      </c>
      <c r="C10" s="240">
        <v>1416874.49</v>
      </c>
    </row>
    <row r="11" spans="1:3" x14ac:dyDescent="0.2">
      <c r="A11" t="s">
        <v>780</v>
      </c>
      <c r="B11" s="240">
        <v>94017.77</v>
      </c>
      <c r="C11" s="240">
        <v>65474.82</v>
      </c>
    </row>
    <row r="12" spans="1:3" x14ac:dyDescent="0.2">
      <c r="A12" t="s">
        <v>781</v>
      </c>
      <c r="B12" s="240">
        <v>9480</v>
      </c>
      <c r="C12" s="240">
        <v>858.87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3049890.1</v>
      </c>
      <c r="C13" s="231">
        <f>SUM(C10:C12)</f>
        <v>1483208.1800000002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744855.25</v>
      </c>
      <c r="C18" s="229">
        <f>'DOE25'!G197+'DOE25'!G215+'DOE25'!G233+'DOE25'!G276+'DOE25'!G295+'DOE25'!G314</f>
        <v>411901.87</v>
      </c>
    </row>
    <row r="19" spans="1:3" x14ac:dyDescent="0.2">
      <c r="A19" t="s">
        <v>779</v>
      </c>
      <c r="B19" s="240">
        <v>422306.2</v>
      </c>
      <c r="C19" s="240">
        <v>198979.73</v>
      </c>
    </row>
    <row r="20" spans="1:3" x14ac:dyDescent="0.2">
      <c r="A20" t="s">
        <v>780</v>
      </c>
      <c r="B20" s="240">
        <v>277693.05</v>
      </c>
      <c r="C20" s="240">
        <v>179503.99</v>
      </c>
    </row>
    <row r="21" spans="1:3" x14ac:dyDescent="0.2">
      <c r="A21" t="s">
        <v>781</v>
      </c>
      <c r="B21" s="240">
        <v>44856</v>
      </c>
      <c r="C21" s="240">
        <v>33418.15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744855.25</v>
      </c>
      <c r="C22" s="231">
        <f>SUM(C19:C21)</f>
        <v>411901.87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273136.5</v>
      </c>
      <c r="C27" s="234">
        <f>'DOE25'!G198+'DOE25'!G216+'DOE25'!G234+'DOE25'!G277+'DOE25'!G296+'DOE25'!G315</f>
        <v>125412.45000000001</v>
      </c>
    </row>
    <row r="28" spans="1:3" x14ac:dyDescent="0.2">
      <c r="A28" t="s">
        <v>779</v>
      </c>
      <c r="B28" s="240">
        <v>273136.5</v>
      </c>
      <c r="C28" s="240">
        <v>125412.45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273136.5</v>
      </c>
      <c r="C31" s="231">
        <f>SUM(C28:C30)</f>
        <v>125412.45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229762.21</v>
      </c>
      <c r="C36" s="235">
        <f>'DOE25'!G199+'DOE25'!G217+'DOE25'!G235+'DOE25'!G278+'DOE25'!G297+'DOE25'!G316</f>
        <v>45339.23</v>
      </c>
    </row>
    <row r="37" spans="1:3" x14ac:dyDescent="0.2">
      <c r="A37" t="s">
        <v>779</v>
      </c>
      <c r="B37" s="240">
        <v>229762.21</v>
      </c>
      <c r="C37" s="240">
        <v>45339.23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 t="s">
        <v>287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229762.21</v>
      </c>
      <c r="C40" s="231">
        <f>SUM(C37:C39)</f>
        <v>45339.23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PEMI-BAKER REGIONAL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7232526.5</v>
      </c>
      <c r="D5" s="20">
        <f>SUM('DOE25'!L196:L199)+SUM('DOE25'!L214:L217)+SUM('DOE25'!L232:L235)-F5-G5</f>
        <v>7111122.9299999997</v>
      </c>
      <c r="E5" s="243"/>
      <c r="F5" s="255">
        <f>SUM('DOE25'!J196:J199)+SUM('DOE25'!J214:J217)+SUM('DOE25'!J232:J235)</f>
        <v>111601.56999999999</v>
      </c>
      <c r="G5" s="53">
        <f>SUM('DOE25'!K196:K199)+SUM('DOE25'!K214:K217)+SUM('DOE25'!K232:K235)</f>
        <v>9802</v>
      </c>
      <c r="H5" s="259"/>
    </row>
    <row r="6" spans="1:9" x14ac:dyDescent="0.2">
      <c r="A6" s="32">
        <v>2100</v>
      </c>
      <c r="B6" t="s">
        <v>801</v>
      </c>
      <c r="C6" s="245">
        <f t="shared" si="0"/>
        <v>962859.17</v>
      </c>
      <c r="D6" s="20">
        <f>'DOE25'!L201+'DOE25'!L219+'DOE25'!L237-F6-G6</f>
        <v>961156.17</v>
      </c>
      <c r="E6" s="243"/>
      <c r="F6" s="255">
        <f>'DOE25'!J201+'DOE25'!J219+'DOE25'!J237</f>
        <v>0</v>
      </c>
      <c r="G6" s="53">
        <f>'DOE25'!K201+'DOE25'!K219+'DOE25'!K237</f>
        <v>1703</v>
      </c>
      <c r="H6" s="259"/>
    </row>
    <row r="7" spans="1:9" x14ac:dyDescent="0.2">
      <c r="A7" s="32">
        <v>2200</v>
      </c>
      <c r="B7" t="s">
        <v>834</v>
      </c>
      <c r="C7" s="245">
        <f t="shared" si="0"/>
        <v>340354.42</v>
      </c>
      <c r="D7" s="20">
        <f>'DOE25'!L202+'DOE25'!L220+'DOE25'!L238-F7-G7</f>
        <v>336811.87</v>
      </c>
      <c r="E7" s="243"/>
      <c r="F7" s="255">
        <f>'DOE25'!J202+'DOE25'!J220+'DOE25'!J238</f>
        <v>3542.55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639872.33000000007</v>
      </c>
      <c r="D8" s="243"/>
      <c r="E8" s="20">
        <f>'DOE25'!L203+'DOE25'!L221+'DOE25'!L239-F8-G8-D9-D11</f>
        <v>635068.35000000009</v>
      </c>
      <c r="F8" s="255">
        <f>'DOE25'!J203+'DOE25'!J221+'DOE25'!J239</f>
        <v>0</v>
      </c>
      <c r="G8" s="53">
        <f>'DOE25'!K203+'DOE25'!K221+'DOE25'!K239</f>
        <v>4803.9799999999996</v>
      </c>
      <c r="H8" s="259"/>
    </row>
    <row r="9" spans="1:9" x14ac:dyDescent="0.2">
      <c r="A9" s="32">
        <v>2310</v>
      </c>
      <c r="B9" t="s">
        <v>818</v>
      </c>
      <c r="C9" s="245">
        <f t="shared" si="0"/>
        <v>58620.24</v>
      </c>
      <c r="D9" s="244">
        <v>58620.24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7000</v>
      </c>
      <c r="D10" s="243"/>
      <c r="E10" s="244">
        <v>7000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155923.66</v>
      </c>
      <c r="D11" s="244">
        <v>155923.66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568518.81999999995</v>
      </c>
      <c r="D12" s="20">
        <f>'DOE25'!L204+'DOE25'!L222+'DOE25'!L240-F12-G12</f>
        <v>537505.12</v>
      </c>
      <c r="E12" s="243"/>
      <c r="F12" s="255">
        <f>'DOE25'!J204+'DOE25'!J222+'DOE25'!J240</f>
        <v>0</v>
      </c>
      <c r="G12" s="53">
        <f>'DOE25'!K204+'DOE25'!K222+'DOE25'!K240</f>
        <v>31013.7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528.47</v>
      </c>
      <c r="D13" s="243"/>
      <c r="E13" s="20">
        <f>'DOE25'!L205+'DOE25'!L223+'DOE25'!L241-F13-G13</f>
        <v>528.47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1394943.58</v>
      </c>
      <c r="D14" s="20">
        <f>'DOE25'!L206+'DOE25'!L224+'DOE25'!L242-F14-G14</f>
        <v>1377900.32</v>
      </c>
      <c r="E14" s="243"/>
      <c r="F14" s="255">
        <f>'DOE25'!J206+'DOE25'!J224+'DOE25'!J242</f>
        <v>17043.259999999998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448017.77</v>
      </c>
      <c r="D15" s="20">
        <f>'DOE25'!L207+'DOE25'!L225+'DOE25'!L243-F15-G15</f>
        <v>448017.77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154700.99</v>
      </c>
      <c r="D22" s="243"/>
      <c r="E22" s="243"/>
      <c r="F22" s="255">
        <f>'DOE25'!L254+'DOE25'!L335</f>
        <v>154700.99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357966.6</v>
      </c>
      <c r="D29" s="20">
        <f>'DOE25'!L357+'DOE25'!L358+'DOE25'!L359-'DOE25'!I366-F29-G29</f>
        <v>357966.6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147782.63</v>
      </c>
      <c r="D31" s="20">
        <f>'DOE25'!L289+'DOE25'!L308+'DOE25'!L327+'DOE25'!L332+'DOE25'!L333+'DOE25'!L334-F31-G31</f>
        <v>82675.95</v>
      </c>
      <c r="E31" s="243"/>
      <c r="F31" s="255">
        <f>'DOE25'!J289+'DOE25'!J308+'DOE25'!J327+'DOE25'!J332+'DOE25'!J333+'DOE25'!J334</f>
        <v>56819.630000000005</v>
      </c>
      <c r="G31" s="53">
        <f>'DOE25'!K289+'DOE25'!K308+'DOE25'!K327+'DOE25'!K332+'DOE25'!K333+'DOE25'!K334</f>
        <v>8287.0499999999993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11427700.629999997</v>
      </c>
      <c r="E33" s="246">
        <f>SUM(E5:E31)</f>
        <v>642596.82000000007</v>
      </c>
      <c r="F33" s="246">
        <f>SUM(F5:F31)</f>
        <v>343708</v>
      </c>
      <c r="G33" s="246">
        <f>SUM(G5:G31)</f>
        <v>55609.729999999996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642596.82000000007</v>
      </c>
      <c r="E35" s="249"/>
    </row>
    <row r="36" spans="2:8" ht="12" thickTop="1" x14ac:dyDescent="0.2">
      <c r="B36" t="s">
        <v>815</v>
      </c>
      <c r="D36" s="20">
        <f>D33</f>
        <v>11427700.629999997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PEMI-BAKER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731772.03</v>
      </c>
      <c r="D8" s="95">
        <f>'DOE25'!G9</f>
        <v>-45514.99</v>
      </c>
      <c r="E8" s="95">
        <f>'DOE25'!H9</f>
        <v>-23962.02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3309.39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10000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194012.67</v>
      </c>
      <c r="D12" s="95">
        <f>'DOE25'!G13</f>
        <v>31036.41</v>
      </c>
      <c r="E12" s="95">
        <f>'DOE25'!H13</f>
        <v>19418.27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13901.81</v>
      </c>
      <c r="D13" s="95">
        <f>'DOE25'!G14</f>
        <v>21386.5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6619.2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949686.51000000013</v>
      </c>
      <c r="D18" s="41">
        <f>SUM(D8:D17)</f>
        <v>6907.9200000000019</v>
      </c>
      <c r="E18" s="41">
        <f>SUM(E8:E17)</f>
        <v>2075.4499999999998</v>
      </c>
      <c r="F18" s="41">
        <f>SUM(F8:F17)</f>
        <v>0</v>
      </c>
      <c r="G18" s="41">
        <f>SUM(G8:G17)</f>
        <v>3309.39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140394.60999999999</v>
      </c>
      <c r="D23" s="95">
        <f>'DOE25'!G24</f>
        <v>0</v>
      </c>
      <c r="E23" s="95">
        <f>'DOE25'!H24</f>
        <v>2075.4499999999998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65320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205714.61</v>
      </c>
      <c r="D31" s="41">
        <f>SUM(D21:D30)</f>
        <v>0</v>
      </c>
      <c r="E31" s="41">
        <f>SUM(E21:E30)</f>
        <v>2075.4499999999998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619964.05000000005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6907.92</v>
      </c>
      <c r="E46" s="95">
        <f>'DOE25'!H47</f>
        <v>0</v>
      </c>
      <c r="F46" s="95">
        <f>'DOE25'!I47</f>
        <v>0</v>
      </c>
      <c r="G46" s="95">
        <f>'DOE25'!J47</f>
        <v>3309.39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124007.85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743971.9</v>
      </c>
      <c r="D49" s="41">
        <f>SUM(D34:D48)</f>
        <v>6907.92</v>
      </c>
      <c r="E49" s="41">
        <f>SUM(E34:E48)</f>
        <v>0</v>
      </c>
      <c r="F49" s="41">
        <f>SUM(F34:F48)</f>
        <v>0</v>
      </c>
      <c r="G49" s="41">
        <f>SUM(G34:G48)</f>
        <v>3309.39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949686.51</v>
      </c>
      <c r="D50" s="41">
        <f>D49+D31</f>
        <v>6907.92</v>
      </c>
      <c r="E50" s="41">
        <f>E49+E31</f>
        <v>2075.4499999999998</v>
      </c>
      <c r="F50" s="41">
        <f>F49+F31</f>
        <v>0</v>
      </c>
      <c r="G50" s="41">
        <f>G49+G31</f>
        <v>3309.39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6477014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221830.89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2073.7199999999998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1.58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201357.5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331001.86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554906.47</v>
      </c>
      <c r="D61" s="130">
        <f>SUM(D56:D60)</f>
        <v>201357.5</v>
      </c>
      <c r="E61" s="130">
        <f>SUM(E56:E60)</f>
        <v>0</v>
      </c>
      <c r="F61" s="130">
        <f>SUM(F56:F60)</f>
        <v>0</v>
      </c>
      <c r="G61" s="130">
        <f>SUM(G56:G60)</f>
        <v>1.58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7031920.4699999997</v>
      </c>
      <c r="D62" s="22">
        <f>D55+D61</f>
        <v>201357.5</v>
      </c>
      <c r="E62" s="22">
        <f>E55+E61</f>
        <v>0</v>
      </c>
      <c r="F62" s="22">
        <f>F55+F61</f>
        <v>0</v>
      </c>
      <c r="G62" s="22">
        <f>G55+G61</f>
        <v>1.58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2715083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1946476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4661559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53788.78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76627.47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2857.06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130416.25</v>
      </c>
      <c r="D77" s="130">
        <f>SUM(D71:D76)</f>
        <v>2857.06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4791975.25</v>
      </c>
      <c r="D80" s="130">
        <f>SUM(D78:D79)+D77+D69</f>
        <v>2857.06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41257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98276.69</v>
      </c>
      <c r="D87" s="95">
        <f>SUM('DOE25'!G152:G160)</f>
        <v>156171.57999999999</v>
      </c>
      <c r="E87" s="95">
        <f>SUM('DOE25'!H152:H160)</f>
        <v>147782.62999999998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139533.69</v>
      </c>
      <c r="D90" s="131">
        <f>SUM(D84:D89)</f>
        <v>156171.57999999999</v>
      </c>
      <c r="E90" s="131">
        <f>SUM(E84:E89)</f>
        <v>147782.62999999998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11963429.409999998</v>
      </c>
      <c r="D103" s="86">
        <f>D62+D80+D90+D102</f>
        <v>360386.14</v>
      </c>
      <c r="E103" s="86">
        <f>E62+E80+E90+E102</f>
        <v>147782.62999999998</v>
      </c>
      <c r="F103" s="86">
        <f>F62+F80+F90+F102</f>
        <v>0</v>
      </c>
      <c r="G103" s="86">
        <f>G62+G80+G102</f>
        <v>1.58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4790477.4000000004</v>
      </c>
      <c r="D108" s="24" t="s">
        <v>289</v>
      </c>
      <c r="E108" s="95">
        <f>('DOE25'!L275)+('DOE25'!L294)+('DOE25'!L313)</f>
        <v>48083.85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1536032.12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391191.34000000008</v>
      </c>
      <c r="D110" s="24" t="s">
        <v>289</v>
      </c>
      <c r="E110" s="95">
        <f>('DOE25'!L277)+('DOE25'!L296)+('DOE25'!L315)</f>
        <v>92354.16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514825.64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7232526.5</v>
      </c>
      <c r="D114" s="86">
        <f>SUM(D108:D113)</f>
        <v>0</v>
      </c>
      <c r="E114" s="86">
        <f>SUM(E108:E113)</f>
        <v>140438.01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962859.17</v>
      </c>
      <c r="D117" s="24" t="s">
        <v>289</v>
      </c>
      <c r="E117" s="95">
        <f>+('DOE25'!L280)+('DOE25'!L299)+('DOE25'!L318)</f>
        <v>969.02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340354.42</v>
      </c>
      <c r="D118" s="24" t="s">
        <v>289</v>
      </c>
      <c r="E118" s="95">
        <f>+('DOE25'!L281)+('DOE25'!L300)+('DOE25'!L319)</f>
        <v>3068.4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854416.2300000001</v>
      </c>
      <c r="D119" s="24" t="s">
        <v>289</v>
      </c>
      <c r="E119" s="95">
        <f>+('DOE25'!L282)+('DOE25'!L301)+('DOE25'!L320)</f>
        <v>1000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568518.81999999995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528.47</v>
      </c>
      <c r="D121" s="24" t="s">
        <v>289</v>
      </c>
      <c r="E121" s="95">
        <f>+('DOE25'!L284)+('DOE25'!L303)+('DOE25'!L322)</f>
        <v>2307.1999999999998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1394943.58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448017.77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357966.6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4569638.4600000009</v>
      </c>
      <c r="D127" s="86">
        <f>SUM(D117:D126)</f>
        <v>357966.6</v>
      </c>
      <c r="E127" s="86">
        <f>SUM(E117:E126)</f>
        <v>7344.62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154700.99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0.75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0.83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-1.58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154700.99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11956865.950000001</v>
      </c>
      <c r="D144" s="86">
        <f>(D114+D127+D143)</f>
        <v>357966.6</v>
      </c>
      <c r="E144" s="86">
        <f>(E114+E127+E143)</f>
        <v>147782.63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PEMI-BAKER REGIONAL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16556</v>
      </c>
    </row>
    <row r="7" spans="1:4" x14ac:dyDescent="0.2">
      <c r="B7" t="s">
        <v>705</v>
      </c>
      <c r="C7" s="179">
        <f>IF('DOE25'!I664+'DOE25'!I669=0,0,ROUND('DOE25'!I671,0))</f>
        <v>16556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4838561</v>
      </c>
      <c r="D10" s="182">
        <f>ROUND((C10/$C$28)*100,1)</f>
        <v>40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1536032</v>
      </c>
      <c r="D11" s="182">
        <f>ROUND((C11/$C$28)*100,1)</f>
        <v>12.7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483546</v>
      </c>
      <c r="D12" s="182">
        <f>ROUND((C12/$C$28)*100,1)</f>
        <v>4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514826</v>
      </c>
      <c r="D13" s="182">
        <f>ROUND((C13/$C$28)*100,1)</f>
        <v>4.3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963828</v>
      </c>
      <c r="D15" s="182">
        <f t="shared" ref="D15:D27" si="0">ROUND((C15/$C$28)*100,1)</f>
        <v>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343423</v>
      </c>
      <c r="D16" s="182">
        <f t="shared" si="0"/>
        <v>2.8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855416</v>
      </c>
      <c r="D17" s="182">
        <f t="shared" si="0"/>
        <v>7.1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568519</v>
      </c>
      <c r="D18" s="182">
        <f t="shared" si="0"/>
        <v>4.7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2836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1394944</v>
      </c>
      <c r="D20" s="182">
        <f t="shared" si="0"/>
        <v>11.5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448018</v>
      </c>
      <c r="D21" s="182">
        <f t="shared" si="0"/>
        <v>3.7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156609.5</v>
      </c>
      <c r="D27" s="182">
        <f t="shared" si="0"/>
        <v>1.3</v>
      </c>
    </row>
    <row r="28" spans="1:4" x14ac:dyDescent="0.2">
      <c r="B28" s="187" t="s">
        <v>723</v>
      </c>
      <c r="C28" s="180">
        <f>SUM(C10:C27)</f>
        <v>12106558.5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154701</v>
      </c>
    </row>
    <row r="30" spans="1:4" x14ac:dyDescent="0.2">
      <c r="B30" s="187" t="s">
        <v>729</v>
      </c>
      <c r="C30" s="180">
        <f>SUM(C28:C29)</f>
        <v>12261259.5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6477014</v>
      </c>
      <c r="D35" s="182">
        <f t="shared" ref="D35:D40" si="1">ROUND((C35/$C$41)*100,1)</f>
        <v>52.8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554908.04999999981</v>
      </c>
      <c r="D36" s="182">
        <f t="shared" si="1"/>
        <v>4.5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4661559</v>
      </c>
      <c r="D37" s="182">
        <f t="shared" si="1"/>
        <v>38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133273</v>
      </c>
      <c r="D38" s="182">
        <f t="shared" si="1"/>
        <v>1.1000000000000001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443488</v>
      </c>
      <c r="D39" s="182">
        <f t="shared" si="1"/>
        <v>3.6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12270242.050000001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PEMI-BAKER REGIONAL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2013-09-17T17:08:38Z</cp:lastPrinted>
  <dcterms:created xsi:type="dcterms:W3CDTF">1997-12-04T19:04:30Z</dcterms:created>
  <dcterms:modified xsi:type="dcterms:W3CDTF">2013-12-05T18:55:11Z</dcterms:modified>
</cp:coreProperties>
</file>