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0" yWindow="0" windowWidth="24000" windowHeight="973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471" i="1" l="1"/>
  <c r="F471" i="1"/>
  <c r="G467" i="1"/>
  <c r="J467" i="1"/>
  <c r="G157" i="1" l="1"/>
  <c r="G438" i="1"/>
  <c r="F49" i="1"/>
  <c r="F29" i="1"/>
  <c r="F9" i="1"/>
  <c r="H232" i="1"/>
  <c r="H357" i="1" l="1"/>
  <c r="H522" i="1" l="1"/>
  <c r="H520" i="1"/>
  <c r="H243" i="1"/>
  <c r="H239" i="1"/>
  <c r="H233" i="1"/>
  <c r="H208" i="1"/>
  <c r="H206" i="1"/>
  <c r="H203" i="1"/>
  <c r="H202" i="1"/>
  <c r="H201" i="1"/>
  <c r="H197" i="1"/>
  <c r="H196" i="1"/>
  <c r="D9" i="13"/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F49" i="2" s="1"/>
  <c r="F50" i="2" s="1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E13" i="13" s="1"/>
  <c r="C13" i="13" s="1"/>
  <c r="L223" i="1"/>
  <c r="L241" i="1"/>
  <c r="F16" i="13"/>
  <c r="G16" i="13"/>
  <c r="L208" i="1"/>
  <c r="C124" i="2" s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C120" i="2" s="1"/>
  <c r="L222" i="1"/>
  <c r="L240" i="1"/>
  <c r="F14" i="13"/>
  <c r="G14" i="13"/>
  <c r="D14" i="13" s="1"/>
  <c r="C14" i="13" s="1"/>
  <c r="L206" i="1"/>
  <c r="L224" i="1"/>
  <c r="L242" i="1"/>
  <c r="F15" i="13"/>
  <c r="G15" i="13"/>
  <c r="L207" i="1"/>
  <c r="L225" i="1"/>
  <c r="L243" i="1"/>
  <c r="F17" i="13"/>
  <c r="G17" i="13"/>
  <c r="D17" i="13" s="1"/>
  <c r="C17" i="13" s="1"/>
  <c r="L250" i="1"/>
  <c r="F18" i="13"/>
  <c r="G18" i="13"/>
  <c r="L251" i="1"/>
  <c r="D18" i="13" s="1"/>
  <c r="C18" i="13" s="1"/>
  <c r="F19" i="13"/>
  <c r="G19" i="13"/>
  <c r="L252" i="1"/>
  <c r="F29" i="13"/>
  <c r="G29" i="13"/>
  <c r="L357" i="1"/>
  <c r="G660" i="1" s="1"/>
  <c r="L358" i="1"/>
  <c r="L359" i="1"/>
  <c r="H660" i="1" s="1"/>
  <c r="I366" i="1"/>
  <c r="I368" i="1" s="1"/>
  <c r="H633" i="1" s="1"/>
  <c r="J289" i="1"/>
  <c r="J308" i="1"/>
  <c r="J327" i="1"/>
  <c r="K289" i="1"/>
  <c r="K308" i="1"/>
  <c r="K327" i="1"/>
  <c r="L275" i="1"/>
  <c r="L276" i="1"/>
  <c r="L277" i="1"/>
  <c r="L278" i="1"/>
  <c r="E111" i="2" s="1"/>
  <c r="L280" i="1"/>
  <c r="E117" i="2" s="1"/>
  <c r="L281" i="1"/>
  <c r="L282" i="1"/>
  <c r="L283" i="1"/>
  <c r="E120" i="2" s="1"/>
  <c r="L284" i="1"/>
  <c r="E121" i="2" s="1"/>
  <c r="L285" i="1"/>
  <c r="L286" i="1"/>
  <c r="L287" i="1"/>
  <c r="E124" i="2" s="1"/>
  <c r="L294" i="1"/>
  <c r="L308" i="1" s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27" i="1" s="1"/>
  <c r="L314" i="1"/>
  <c r="L315" i="1"/>
  <c r="L316" i="1"/>
  <c r="L318" i="1"/>
  <c r="L319" i="1"/>
  <c r="L320" i="1"/>
  <c r="L321" i="1"/>
  <c r="L322" i="1"/>
  <c r="L323" i="1"/>
  <c r="L324" i="1"/>
  <c r="L325" i="1"/>
  <c r="L332" i="1"/>
  <c r="E113" i="2" s="1"/>
  <c r="L333" i="1"/>
  <c r="L334" i="1"/>
  <c r="L259" i="1"/>
  <c r="C130" i="2" s="1"/>
  <c r="L260" i="1"/>
  <c r="C25" i="10" s="1"/>
  <c r="L340" i="1"/>
  <c r="L341" i="1"/>
  <c r="L254" i="1"/>
  <c r="C129" i="2" s="1"/>
  <c r="L335" i="1"/>
  <c r="F22" i="13" s="1"/>
  <c r="C22" i="13" s="1"/>
  <c r="C11" i="13"/>
  <c r="C10" i="13"/>
  <c r="C9" i="13"/>
  <c r="L360" i="1"/>
  <c r="L361" i="1" s="1"/>
  <c r="B4" i="12"/>
  <c r="B36" i="12"/>
  <c r="C36" i="12"/>
  <c r="B40" i="12"/>
  <c r="C40" i="12"/>
  <c r="B27" i="12"/>
  <c r="C27" i="12"/>
  <c r="B31" i="12"/>
  <c r="A31" i="12" s="1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C35" i="10" s="1"/>
  <c r="G59" i="1"/>
  <c r="H59" i="1"/>
  <c r="I59" i="1"/>
  <c r="F55" i="2" s="1"/>
  <c r="F78" i="1"/>
  <c r="C56" i="2" s="1"/>
  <c r="F93" i="1"/>
  <c r="F110" i="1"/>
  <c r="G110" i="1"/>
  <c r="G111" i="1" s="1"/>
  <c r="H78" i="1"/>
  <c r="H111" i="1" s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C84" i="2" s="1"/>
  <c r="F161" i="1"/>
  <c r="G146" i="1"/>
  <c r="G161" i="1"/>
  <c r="H146" i="1"/>
  <c r="H161" i="1"/>
  <c r="I146" i="1"/>
  <c r="I161" i="1"/>
  <c r="C11" i="10"/>
  <c r="C16" i="10"/>
  <c r="C20" i="10"/>
  <c r="L249" i="1"/>
  <c r="L331" i="1"/>
  <c r="C23" i="10" s="1"/>
  <c r="L253" i="1"/>
  <c r="L267" i="1"/>
  <c r="L268" i="1"/>
  <c r="C142" i="2" s="1"/>
  <c r="L348" i="1"/>
  <c r="L349" i="1"/>
  <c r="I664" i="1"/>
  <c r="I669" i="1"/>
  <c r="G661" i="1"/>
  <c r="H661" i="1"/>
  <c r="I668" i="1"/>
  <c r="C42" i="10"/>
  <c r="C32" i="10"/>
  <c r="L373" i="1"/>
  <c r="F129" i="2" s="1"/>
  <c r="L374" i="1"/>
  <c r="L375" i="1"/>
  <c r="L376" i="1"/>
  <c r="L377" i="1"/>
  <c r="L378" i="1"/>
  <c r="L379" i="1"/>
  <c r="B2" i="10"/>
  <c r="L343" i="1"/>
  <c r="E133" i="2" s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H551" i="1" s="1"/>
  <c r="L531" i="1"/>
  <c r="H549" i="1" s="1"/>
  <c r="K549" i="1" s="1"/>
  <c r="L532" i="1"/>
  <c r="H550" i="1" s="1"/>
  <c r="L535" i="1"/>
  <c r="I548" i="1" s="1"/>
  <c r="L536" i="1"/>
  <c r="I549" i="1" s="1"/>
  <c r="I551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A1" i="2"/>
  <c r="A2" i="2"/>
  <c r="C8" i="2"/>
  <c r="D8" i="2"/>
  <c r="E8" i="2"/>
  <c r="F8" i="2"/>
  <c r="I438" i="1"/>
  <c r="J9" i="1" s="1"/>
  <c r="G8" i="2" s="1"/>
  <c r="C9" i="2"/>
  <c r="D9" i="2"/>
  <c r="E9" i="2"/>
  <c r="E18" i="2" s="1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D31" i="2" s="1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D55" i="2"/>
  <c r="E55" i="2"/>
  <c r="C57" i="2"/>
  <c r="E57" i="2"/>
  <c r="C58" i="2"/>
  <c r="D58" i="2"/>
  <c r="E58" i="2"/>
  <c r="F58" i="2"/>
  <c r="D59" i="2"/>
  <c r="C60" i="2"/>
  <c r="D60" i="2"/>
  <c r="D61" i="2" s="1"/>
  <c r="D62" i="2" s="1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F77" i="2" s="1"/>
  <c r="F80" i="2" s="1"/>
  <c r="C72" i="2"/>
  <c r="F72" i="2"/>
  <c r="C73" i="2"/>
  <c r="C74" i="2"/>
  <c r="C75" i="2"/>
  <c r="E75" i="2"/>
  <c r="F75" i="2"/>
  <c r="C76" i="2"/>
  <c r="D76" i="2"/>
  <c r="D77" i="2" s="1"/>
  <c r="D80" i="2" s="1"/>
  <c r="E76" i="2"/>
  <c r="F76" i="2"/>
  <c r="G76" i="2"/>
  <c r="G77" i="2" s="1"/>
  <c r="C78" i="2"/>
  <c r="D78" i="2"/>
  <c r="E78" i="2"/>
  <c r="C79" i="2"/>
  <c r="E79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C102" i="2" s="1"/>
  <c r="F93" i="2"/>
  <c r="D95" i="2"/>
  <c r="E95" i="2"/>
  <c r="F95" i="2"/>
  <c r="G95" i="2"/>
  <c r="C96" i="2"/>
  <c r="D96" i="2"/>
  <c r="E96" i="2"/>
  <c r="E102" i="2" s="1"/>
  <c r="F96" i="2"/>
  <c r="G96" i="2"/>
  <c r="C97" i="2"/>
  <c r="D97" i="2"/>
  <c r="E97" i="2"/>
  <c r="G97" i="2"/>
  <c r="C98" i="2"/>
  <c r="D98" i="2"/>
  <c r="E98" i="2"/>
  <c r="F98" i="2"/>
  <c r="F102" i="2" s="1"/>
  <c r="C99" i="2"/>
  <c r="D99" i="2"/>
  <c r="E99" i="2"/>
  <c r="F99" i="2"/>
  <c r="C100" i="2"/>
  <c r="D100" i="2"/>
  <c r="E100" i="2"/>
  <c r="F100" i="2"/>
  <c r="C101" i="2"/>
  <c r="D101" i="2"/>
  <c r="E101" i="2"/>
  <c r="F101" i="2"/>
  <c r="C109" i="2"/>
  <c r="E109" i="2"/>
  <c r="E110" i="2"/>
  <c r="C112" i="2"/>
  <c r="E112" i="2"/>
  <c r="C113" i="2"/>
  <c r="D114" i="2"/>
  <c r="F114" i="2"/>
  <c r="G114" i="2"/>
  <c r="C118" i="2"/>
  <c r="E118" i="2"/>
  <c r="E119" i="2"/>
  <c r="C122" i="2"/>
  <c r="E122" i="2"/>
  <c r="E123" i="2"/>
  <c r="F127" i="2"/>
  <c r="G127" i="2"/>
  <c r="D133" i="2"/>
  <c r="D143" i="2" s="1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G155" i="2" s="1"/>
  <c r="C155" i="2"/>
  <c r="D155" i="2"/>
  <c r="E155" i="2"/>
  <c r="F155" i="2"/>
  <c r="B156" i="2"/>
  <c r="C156" i="2"/>
  <c r="D156" i="2"/>
  <c r="E156" i="2"/>
  <c r="G156" i="2" s="1"/>
  <c r="F156" i="2"/>
  <c r="B157" i="2"/>
  <c r="C157" i="2"/>
  <c r="D157" i="2"/>
  <c r="E157" i="2"/>
  <c r="F157" i="2"/>
  <c r="B158" i="2"/>
  <c r="G158" i="2" s="1"/>
  <c r="C158" i="2"/>
  <c r="D158" i="2"/>
  <c r="E158" i="2"/>
  <c r="F158" i="2"/>
  <c r="B159" i="2"/>
  <c r="G159" i="2" s="1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G160" i="2" s="1"/>
  <c r="J499" i="1"/>
  <c r="F160" i="2" s="1"/>
  <c r="B161" i="2"/>
  <c r="C161" i="2"/>
  <c r="G161" i="2" s="1"/>
  <c r="D161" i="2"/>
  <c r="E161" i="2"/>
  <c r="F161" i="2"/>
  <c r="B162" i="2"/>
  <c r="G162" i="2" s="1"/>
  <c r="C162" i="2"/>
  <c r="D162" i="2"/>
  <c r="E162" i="2"/>
  <c r="F162" i="2"/>
  <c r="F502" i="1"/>
  <c r="B163" i="2" s="1"/>
  <c r="G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G619" i="1" s="1"/>
  <c r="F32" i="1"/>
  <c r="G32" i="1"/>
  <c r="H32" i="1"/>
  <c r="I32" i="1"/>
  <c r="F50" i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G191" i="1" s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L255" i="1" s="1"/>
  <c r="H255" i="1"/>
  <c r="I255" i="1"/>
  <c r="J255" i="1"/>
  <c r="K255" i="1"/>
  <c r="F256" i="1"/>
  <c r="F270" i="1" s="1"/>
  <c r="F289" i="1"/>
  <c r="G289" i="1"/>
  <c r="H289" i="1"/>
  <c r="H337" i="1" s="1"/>
  <c r="H351" i="1" s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K337" i="1" s="1"/>
  <c r="F361" i="1"/>
  <c r="G361" i="1"/>
  <c r="H361" i="1"/>
  <c r="I361" i="1"/>
  <c r="G633" i="1" s="1"/>
  <c r="J361" i="1"/>
  <c r="K361" i="1"/>
  <c r="I367" i="1"/>
  <c r="F368" i="1"/>
  <c r="G368" i="1"/>
  <c r="H368" i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H407" i="1" s="1"/>
  <c r="H643" i="1" s="1"/>
  <c r="J643" i="1" s="1"/>
  <c r="I400" i="1"/>
  <c r="F406" i="1"/>
  <c r="G406" i="1"/>
  <c r="H406" i="1"/>
  <c r="I406" i="1"/>
  <c r="F407" i="1"/>
  <c r="G407" i="1"/>
  <c r="H644" i="1" s="1"/>
  <c r="I407" i="1"/>
  <c r="L412" i="1"/>
  <c r="L413" i="1"/>
  <c r="L418" i="1" s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32" i="1" s="1"/>
  <c r="L429" i="1"/>
  <c r="L430" i="1"/>
  <c r="L431" i="1"/>
  <c r="F432" i="1"/>
  <c r="G432" i="1"/>
  <c r="H432" i="1"/>
  <c r="I432" i="1"/>
  <c r="J432" i="1"/>
  <c r="F445" i="1"/>
  <c r="G445" i="1"/>
  <c r="G639" i="1" s="1"/>
  <c r="H445" i="1"/>
  <c r="I445" i="1"/>
  <c r="G641" i="1" s="1"/>
  <c r="F451" i="1"/>
  <c r="G451" i="1"/>
  <c r="H451" i="1"/>
  <c r="I451" i="1"/>
  <c r="F459" i="1"/>
  <c r="G459" i="1"/>
  <c r="G460" i="1" s="1"/>
  <c r="H639" i="1" s="1"/>
  <c r="H459" i="1"/>
  <c r="F460" i="1"/>
  <c r="H638" i="1" s="1"/>
  <c r="H460" i="1"/>
  <c r="F469" i="1"/>
  <c r="G469" i="1"/>
  <c r="H469" i="1"/>
  <c r="I469" i="1"/>
  <c r="J469" i="1"/>
  <c r="F473" i="1"/>
  <c r="G473" i="1"/>
  <c r="H473" i="1"/>
  <c r="I473" i="1"/>
  <c r="J473" i="1"/>
  <c r="J475" i="1" s="1"/>
  <c r="H625" i="1" s="1"/>
  <c r="K494" i="1"/>
  <c r="K495" i="1"/>
  <c r="K496" i="1"/>
  <c r="K497" i="1"/>
  <c r="K498" i="1"/>
  <c r="K499" i="1"/>
  <c r="K500" i="1"/>
  <c r="K501" i="1"/>
  <c r="F516" i="1"/>
  <c r="G516" i="1"/>
  <c r="H516" i="1"/>
  <c r="I516" i="1"/>
  <c r="F523" i="1"/>
  <c r="G523" i="1"/>
  <c r="H523" i="1"/>
  <c r="I523" i="1"/>
  <c r="J523" i="1"/>
  <c r="J544" i="1" s="1"/>
  <c r="K523" i="1"/>
  <c r="F528" i="1"/>
  <c r="G528" i="1"/>
  <c r="G544" i="1" s="1"/>
  <c r="H528" i="1"/>
  <c r="I528" i="1"/>
  <c r="J528" i="1"/>
  <c r="K528" i="1"/>
  <c r="K544" i="1" s="1"/>
  <c r="F533" i="1"/>
  <c r="G533" i="1"/>
  <c r="H533" i="1"/>
  <c r="I533" i="1"/>
  <c r="J533" i="1"/>
  <c r="K533" i="1"/>
  <c r="F538" i="1"/>
  <c r="G538" i="1"/>
  <c r="H538" i="1"/>
  <c r="I538" i="1"/>
  <c r="J538" i="1"/>
  <c r="K538" i="1"/>
  <c r="F543" i="1"/>
  <c r="G543" i="1"/>
  <c r="H543" i="1"/>
  <c r="I543" i="1"/>
  <c r="J543" i="1"/>
  <c r="K543" i="1"/>
  <c r="L556" i="1"/>
  <c r="L559" i="1" s="1"/>
  <c r="L557" i="1"/>
  <c r="L558" i="1"/>
  <c r="F559" i="1"/>
  <c r="G559" i="1"/>
  <c r="H559" i="1"/>
  <c r="I559" i="1"/>
  <c r="J559" i="1"/>
  <c r="K559" i="1"/>
  <c r="L561" i="1"/>
  <c r="L564" i="1" s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I570" i="1" s="1"/>
  <c r="J569" i="1"/>
  <c r="J570" i="1" s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K604" i="1" s="1"/>
  <c r="G647" i="1" s="1"/>
  <c r="H604" i="1"/>
  <c r="I604" i="1"/>
  <c r="J604" i="1"/>
  <c r="F613" i="1"/>
  <c r="G613" i="1"/>
  <c r="H613" i="1"/>
  <c r="I613" i="1"/>
  <c r="J613" i="1"/>
  <c r="K613" i="1"/>
  <c r="G616" i="1"/>
  <c r="G617" i="1"/>
  <c r="G618" i="1"/>
  <c r="G621" i="1"/>
  <c r="G622" i="1"/>
  <c r="G623" i="1"/>
  <c r="H626" i="1"/>
  <c r="H627" i="1"/>
  <c r="H628" i="1"/>
  <c r="H629" i="1"/>
  <c r="H630" i="1"/>
  <c r="H631" i="1"/>
  <c r="H632" i="1"/>
  <c r="H634" i="1"/>
  <c r="H635" i="1"/>
  <c r="H636" i="1"/>
  <c r="H637" i="1"/>
  <c r="G638" i="1"/>
  <c r="G640" i="1"/>
  <c r="H640" i="1"/>
  <c r="G642" i="1"/>
  <c r="J642" i="1" s="1"/>
  <c r="H642" i="1"/>
  <c r="G643" i="1"/>
  <c r="G644" i="1"/>
  <c r="G649" i="1"/>
  <c r="G650" i="1"/>
  <c r="G651" i="1"/>
  <c r="H651" i="1"/>
  <c r="G652" i="1"/>
  <c r="H652" i="1"/>
  <c r="G653" i="1"/>
  <c r="H653" i="1"/>
  <c r="H654" i="1"/>
  <c r="F191" i="1"/>
  <c r="I256" i="1"/>
  <c r="F31" i="2"/>
  <c r="A40" i="12"/>
  <c r="E49" i="2"/>
  <c r="D6" i="13"/>
  <c r="C6" i="13" s="1"/>
  <c r="G80" i="2"/>
  <c r="F61" i="2"/>
  <c r="D49" i="2"/>
  <c r="G157" i="2"/>
  <c r="G102" i="2"/>
  <c r="D90" i="2"/>
  <c r="F90" i="2"/>
  <c r="G61" i="2"/>
  <c r="D19" i="13"/>
  <c r="C19" i="13" s="1"/>
  <c r="E77" i="2"/>
  <c r="L426" i="1"/>
  <c r="J640" i="1"/>
  <c r="K570" i="1"/>
  <c r="I168" i="1"/>
  <c r="F475" i="1"/>
  <c r="H621" i="1" s="1"/>
  <c r="G337" i="1"/>
  <c r="G351" i="1" s="1"/>
  <c r="F168" i="1"/>
  <c r="J139" i="1"/>
  <c r="G22" i="2"/>
  <c r="J551" i="1"/>
  <c r="H139" i="1"/>
  <c r="H25" i="13"/>
  <c r="C25" i="13" s="1"/>
  <c r="H570" i="1"/>
  <c r="F337" i="1"/>
  <c r="F351" i="1" s="1"/>
  <c r="H191" i="1"/>
  <c r="E16" i="13"/>
  <c r="L569" i="1"/>
  <c r="G36" i="2"/>
  <c r="C16" i="13"/>
  <c r="H544" i="1" l="1"/>
  <c r="L533" i="1"/>
  <c r="H475" i="1"/>
  <c r="H623" i="1" s="1"/>
  <c r="J623" i="1" s="1"/>
  <c r="I475" i="1"/>
  <c r="H624" i="1" s="1"/>
  <c r="G475" i="1"/>
  <c r="H622" i="1" s="1"/>
  <c r="J622" i="1" s="1"/>
  <c r="J633" i="1"/>
  <c r="H168" i="1"/>
  <c r="C90" i="2"/>
  <c r="C77" i="2"/>
  <c r="C69" i="2"/>
  <c r="C61" i="2"/>
  <c r="J644" i="1"/>
  <c r="L400" i="1"/>
  <c r="C138" i="2" s="1"/>
  <c r="L392" i="1"/>
  <c r="C137" i="2" s="1"/>
  <c r="J639" i="1"/>
  <c r="J638" i="1"/>
  <c r="I459" i="1"/>
  <c r="I460" i="1" s="1"/>
  <c r="H641" i="1" s="1"/>
  <c r="F18" i="2"/>
  <c r="E31" i="2"/>
  <c r="E50" i="2" s="1"/>
  <c r="D18" i="2"/>
  <c r="C49" i="2"/>
  <c r="C50" i="2" s="1"/>
  <c r="J621" i="1"/>
  <c r="C31" i="2"/>
  <c r="F51" i="1"/>
  <c r="H616" i="1" s="1"/>
  <c r="J616" i="1" s="1"/>
  <c r="C18" i="2"/>
  <c r="K597" i="1"/>
  <c r="G646" i="1" s="1"/>
  <c r="J650" i="1"/>
  <c r="F570" i="1"/>
  <c r="G551" i="1"/>
  <c r="K550" i="1"/>
  <c r="I544" i="1"/>
  <c r="F551" i="1"/>
  <c r="D126" i="2"/>
  <c r="D127" i="2" s="1"/>
  <c r="L289" i="1"/>
  <c r="L337" i="1" s="1"/>
  <c r="L351" i="1" s="1"/>
  <c r="G632" i="1" s="1"/>
  <c r="J632" i="1" s="1"/>
  <c r="J654" i="1"/>
  <c r="L269" i="1"/>
  <c r="C21" i="10"/>
  <c r="G256" i="1"/>
  <c r="G270" i="1" s="1"/>
  <c r="C15" i="10"/>
  <c r="H256" i="1"/>
  <c r="H270" i="1" s="1"/>
  <c r="L246" i="1"/>
  <c r="H659" i="1" s="1"/>
  <c r="H663" i="1" s="1"/>
  <c r="C111" i="2"/>
  <c r="C12" i="10"/>
  <c r="J256" i="1"/>
  <c r="J270" i="1" s="1"/>
  <c r="L228" i="1"/>
  <c r="L256" i="1" s="1"/>
  <c r="K256" i="1"/>
  <c r="K270" i="1" s="1"/>
  <c r="D12" i="13"/>
  <c r="C12" i="13" s="1"/>
  <c r="C17" i="10"/>
  <c r="D7" i="13"/>
  <c r="C7" i="13" s="1"/>
  <c r="L210" i="1"/>
  <c r="F659" i="1" s="1"/>
  <c r="C108" i="2"/>
  <c r="D5" i="13"/>
  <c r="C5" i="13" s="1"/>
  <c r="A13" i="12"/>
  <c r="E127" i="2"/>
  <c r="F111" i="1"/>
  <c r="C36" i="10" s="1"/>
  <c r="L350" i="1"/>
  <c r="L538" i="1"/>
  <c r="K502" i="1"/>
  <c r="L381" i="1"/>
  <c r="G635" i="1" s="1"/>
  <c r="J635" i="1" s="1"/>
  <c r="L336" i="1"/>
  <c r="E108" i="2"/>
  <c r="E114" i="2" s="1"/>
  <c r="E56" i="2"/>
  <c r="E61" i="2" s="1"/>
  <c r="E62" i="2" s="1"/>
  <c r="E103" i="2" s="1"/>
  <c r="F660" i="1"/>
  <c r="I660" i="1" s="1"/>
  <c r="C10" i="10"/>
  <c r="K548" i="1"/>
  <c r="K551" i="1" s="1"/>
  <c r="D29" i="13"/>
  <c r="C29" i="13" s="1"/>
  <c r="F62" i="2"/>
  <c r="F103" i="2" s="1"/>
  <c r="D15" i="13"/>
  <c r="C15" i="13" s="1"/>
  <c r="G648" i="1"/>
  <c r="J648" i="1" s="1"/>
  <c r="L543" i="1"/>
  <c r="L523" i="1"/>
  <c r="J337" i="1"/>
  <c r="J351" i="1" s="1"/>
  <c r="E129" i="2"/>
  <c r="E143" i="2" s="1"/>
  <c r="C123" i="2"/>
  <c r="C121" i="2"/>
  <c r="C119" i="2"/>
  <c r="C117" i="2"/>
  <c r="C110" i="2"/>
  <c r="C55" i="2"/>
  <c r="C62" i="2" s="1"/>
  <c r="F661" i="1"/>
  <c r="I661" i="1" s="1"/>
  <c r="C18" i="10"/>
  <c r="C13" i="10"/>
  <c r="D144" i="2"/>
  <c r="E80" i="2"/>
  <c r="I270" i="1"/>
  <c r="K351" i="1"/>
  <c r="C19" i="10"/>
  <c r="H33" i="13"/>
  <c r="C29" i="10"/>
  <c r="E8" i="13"/>
  <c r="C8" i="13" s="1"/>
  <c r="C26" i="10"/>
  <c r="H646" i="1"/>
  <c r="J646" i="1" s="1"/>
  <c r="G624" i="1"/>
  <c r="J624" i="1" s="1"/>
  <c r="L613" i="1"/>
  <c r="L528" i="1"/>
  <c r="C24" i="10"/>
  <c r="G31" i="13"/>
  <c r="G33" i="13" s="1"/>
  <c r="I337" i="1"/>
  <c r="I351" i="1" s="1"/>
  <c r="J649" i="1"/>
  <c r="L406" i="1"/>
  <c r="C139" i="2" s="1"/>
  <c r="L570" i="1"/>
  <c r="I191" i="1"/>
  <c r="E90" i="2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J192" i="1"/>
  <c r="G645" i="1" s="1"/>
  <c r="H192" i="1"/>
  <c r="G628" i="1" s="1"/>
  <c r="J628" i="1" s="1"/>
  <c r="G168" i="1"/>
  <c r="C39" i="10" s="1"/>
  <c r="G139" i="1"/>
  <c r="F139" i="1"/>
  <c r="G62" i="2"/>
  <c r="G103" i="2" s="1"/>
  <c r="J617" i="1"/>
  <c r="G42" i="2"/>
  <c r="G49" i="2" s="1"/>
  <c r="G50" i="2" s="1"/>
  <c r="J50" i="1"/>
  <c r="G16" i="2"/>
  <c r="J19" i="1"/>
  <c r="G620" i="1" s="1"/>
  <c r="F33" i="13"/>
  <c r="G18" i="2"/>
  <c r="F544" i="1"/>
  <c r="H433" i="1"/>
  <c r="J619" i="1"/>
  <c r="J618" i="1"/>
  <c r="D102" i="2"/>
  <c r="D103" i="2" s="1"/>
  <c r="I139" i="1"/>
  <c r="I192" i="1" s="1"/>
  <c r="G629" i="1" s="1"/>
  <c r="J629" i="1" s="1"/>
  <c r="A22" i="12"/>
  <c r="H647" i="1"/>
  <c r="J647" i="1" s="1"/>
  <c r="J651" i="1"/>
  <c r="J641" i="1"/>
  <c r="G570" i="1"/>
  <c r="I433" i="1"/>
  <c r="G433" i="1"/>
  <c r="I662" i="1"/>
  <c r="C27" i="10"/>
  <c r="G634" i="1"/>
  <c r="J634" i="1" s="1"/>
  <c r="C80" i="2" l="1"/>
  <c r="C103" i="2" s="1"/>
  <c r="C140" i="2"/>
  <c r="C143" i="2" s="1"/>
  <c r="L270" i="1"/>
  <c r="G631" i="1" s="1"/>
  <c r="J631" i="1" s="1"/>
  <c r="L544" i="1"/>
  <c r="D31" i="13"/>
  <c r="C31" i="13" s="1"/>
  <c r="H671" i="1"/>
  <c r="C6" i="10" s="1"/>
  <c r="H666" i="1"/>
  <c r="G659" i="1"/>
  <c r="G663" i="1" s="1"/>
  <c r="G666" i="1" s="1"/>
  <c r="C114" i="2"/>
  <c r="C28" i="10"/>
  <c r="D23" i="10" s="1"/>
  <c r="C127" i="2"/>
  <c r="E33" i="13"/>
  <c r="D35" i="13" s="1"/>
  <c r="F192" i="1"/>
  <c r="G626" i="1" s="1"/>
  <c r="J626" i="1" s="1"/>
  <c r="L407" i="1"/>
  <c r="F663" i="1"/>
  <c r="E144" i="2"/>
  <c r="G630" i="1"/>
  <c r="J630" i="1" s="1"/>
  <c r="D33" i="13"/>
  <c r="D36" i="13" s="1"/>
  <c r="G192" i="1"/>
  <c r="G627" i="1" s="1"/>
  <c r="J627" i="1" s="1"/>
  <c r="G625" i="1"/>
  <c r="J625" i="1" s="1"/>
  <c r="J51" i="1"/>
  <c r="H620" i="1" s="1"/>
  <c r="J620" i="1" s="1"/>
  <c r="C38" i="10"/>
  <c r="G671" i="1" l="1"/>
  <c r="C5" i="10" s="1"/>
  <c r="C144" i="2"/>
  <c r="I659" i="1"/>
  <c r="I663" i="1" s="1"/>
  <c r="I671" i="1" s="1"/>
  <c r="C7" i="10" s="1"/>
  <c r="D20" i="10"/>
  <c r="D25" i="10"/>
  <c r="D15" i="10"/>
  <c r="D19" i="10"/>
  <c r="D27" i="10"/>
  <c r="D18" i="10"/>
  <c r="D17" i="10"/>
  <c r="D12" i="10"/>
  <c r="D24" i="10"/>
  <c r="D10" i="10"/>
  <c r="D13" i="10"/>
  <c r="D26" i="10"/>
  <c r="D11" i="10"/>
  <c r="C30" i="10"/>
  <c r="D21" i="10"/>
  <c r="D16" i="10"/>
  <c r="D22" i="10"/>
  <c r="F671" i="1"/>
  <c r="C4" i="10" s="1"/>
  <c r="F666" i="1"/>
  <c r="G636" i="1"/>
  <c r="J636" i="1" s="1"/>
  <c r="H645" i="1"/>
  <c r="J645" i="1" s="1"/>
  <c r="C41" i="10"/>
  <c r="D38" i="10" s="1"/>
  <c r="H655" i="1" l="1"/>
  <c r="I666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<sst xmlns="http://schemas.openxmlformats.org/spreadsheetml/2006/main" count="3945" uniqueCount="911">
  <si>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</si>
  <si>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</si>
  <si>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</si>
  <si>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</si>
  <si>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</si>
  <si>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</si>
  <si>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</si>
  <si>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</si>
  <si>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</si>
  <si>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</si>
  <si>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</si>
  <si>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</si>
  <si>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</si>
  <si>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</si>
  <si>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</si>
  <si>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</si>
  <si>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</si>
  <si>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</si>
  <si>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</si>
  <si>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</si>
  <si>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</si>
  <si>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</si>
  <si>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</si>
  <si>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</si>
  <si>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</si>
  <si>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</si>
  <si>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</si>
  <si>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</si>
  <si>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</si>
  <si>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</si>
  <si>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</si>
  <si>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</si>
  <si>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</si>
  <si>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</si>
  <si>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</si>
  <si>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</si>
  <si>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</si>
  <si>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</si>
  <si>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</si>
  <si>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</si>
  <si>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</si>
  <si>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</si>
  <si>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</si>
  <si>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</si>
  <si>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</si>
  <si>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</si>
  <si>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</si>
  <si>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</si>
  <si>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</si>
  <si>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</si>
  <si>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</si>
  <si>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</si>
  <si>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</si>
  <si>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</si>
  <si>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</si>
  <si>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</si>
  <si>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</si>
  <si>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</si>
  <si>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</si>
  <si>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</si>
  <si>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</si>
  <si>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</si>
  <si>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</si>
  <si>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</si>
  <si>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</si>
  <si>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</si>
  <si>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</si>
  <si>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</si>
  <si>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</si>
  <si>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</si>
  <si>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</si>
  <si>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</si>
  <si>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</si>
  <si>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</si>
  <si>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</si>
  <si>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</si>
  <si>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</si>
  <si>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</si>
  <si>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</si>
  <si>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</si>
  <si>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</si>
  <si>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</si>
  <si>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</si>
  <si>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</si>
  <si>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</si>
  <si>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</si>
  <si>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</si>
  <si>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</si>
  <si>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</si>
  <si>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</si>
  <si>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</si>
  <si>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</si>
  <si>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</si>
  <si>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</si>
  <si>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</si>
  <si>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</si>
  <si>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</si>
  <si>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</si>
  <si>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</si>
  <si>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</si>
  <si>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</si>
  <si>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</si>
  <si>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</si>
  <si>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</si>
  <si>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</si>
  <si>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</si>
  <si>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</si>
  <si>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</si>
  <si>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</si>
  <si>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</si>
  <si>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</si>
  <si>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</si>
  <si>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</si>
  <si>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</si>
  <si>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</si>
  <si>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</si>
  <si>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</si>
  <si>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</si>
  <si>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</si>
  <si>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</si>
  <si>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</si>
  <si>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</si>
  <si>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</si>
  <si>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</si>
  <si>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</si>
  <si>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</si>
  <si>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</si>
  <si>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</si>
  <si>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</si>
  <si>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</si>
  <si>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</si>
  <si>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</si>
  <si>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</si>
  <si>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</si>
  <si>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</si>
  <si>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</si>
  <si>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</si>
  <si>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</si>
  <si>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</si>
  <si>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</si>
  <si>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</si>
  <si>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</si>
  <si>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</si>
  <si>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</si>
  <si>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</si>
  <si>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</si>
  <si>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</si>
  <si>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</si>
  <si>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</si>
  <si>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</si>
  <si>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</si>
  <si>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</si>
  <si>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</si>
  <si>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</si>
  <si>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</si>
  <si>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</si>
  <si>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</si>
  <si>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</si>
  <si>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</si>
  <si>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</si>
  <si>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</si>
  <si>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</si>
  <si>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</si>
  <si>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</si>
  <si>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</si>
  <si>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</si>
  <si>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</si>
  <si>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</si>
  <si>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</si>
  <si>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</si>
  <si>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</si>
  <si>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</si>
  <si>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</si>
  <si>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</si>
  <si>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</si>
  <si>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</si>
  <si>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</si>
  <si>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</si>
  <si>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</si>
  <si>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</si>
  <si>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</si>
  <si>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</si>
  <si>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</si>
  <si>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</si>
  <si>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</si>
  <si>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</si>
  <si>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</si>
  <si>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</si>
  <si>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</si>
  <si>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</si>
  <si>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</si>
  <si>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</si>
  <si>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</si>
  <si>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</si>
  <si>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</si>
  <si>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</si>
  <si>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</si>
  <si>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</si>
  <si>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</si>
  <si>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</si>
  <si>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</si>
  <si>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</si>
  <si>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</si>
  <si>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</si>
  <si>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</si>
  <si>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</si>
  <si>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</si>
  <si>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</si>
  <si>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</si>
  <si>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</si>
  <si>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</si>
  <si>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</si>
  <si>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</si>
  <si>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</si>
  <si>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</si>
  <si>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</si>
  <si>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</si>
  <si>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</si>
  <si>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</si>
  <si>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</si>
  <si>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</si>
  <si>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</si>
  <si>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</si>
  <si>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</si>
  <si>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</si>
  <si>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</si>
  <si>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</si>
  <si>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</si>
  <si>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</si>
  <si>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</si>
  <si>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</si>
  <si>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</si>
  <si>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</si>
  <si>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</si>
  <si>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</si>
  <si>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</si>
  <si>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</si>
  <si>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</si>
  <si>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</si>
  <si>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</si>
  <si>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</si>
  <si>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</si>
  <si>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</si>
  <si>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</si>
  <si>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</si>
  <si>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</si>
  <si>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</si>
  <si>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</si>
  <si>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</si>
  <si>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</si>
  <si>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</si>
  <si>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</si>
  <si>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</si>
  <si>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</si>
  <si>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</si>
  <si>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</si>
  <si>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</si>
  <si>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</si>
  <si>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</si>
  <si>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</si>
  <si>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</si>
  <si>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</si>
  <si>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</si>
  <si>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</si>
  <si>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</si>
  <si>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</si>
  <si>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</si>
  <si>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</si>
  <si>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</si>
  <si>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</si>
  <si>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</si>
  <si>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</si>
  <si>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</si>
  <si>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</si>
  <si>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</si>
  <si>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</si>
  <si>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</si>
  <si>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</si>
  <si>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</si>
  <si>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</si>
  <si>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</si>
  <si>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</si>
  <si>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</si>
  <si>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</si>
  <si>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</si>
  <si>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</si>
  <si>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</si>
  <si>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</si>
  <si>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</si>
  <si>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</si>
  <si>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</si>
  <si>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</si>
  <si>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</si>
  <si>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</si>
  <si>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</si>
  <si>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</si>
  <si>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</si>
  <si>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</si>
  <si>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</si>
  <si>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</si>
  <si>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</si>
  <si>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</si>
  <si>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</si>
  <si>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</si>
  <si>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</si>
  <si>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</si>
  <si>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</si>
  <si>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</si>
  <si>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</si>
  <si>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</si>
  <si>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</si>
  <si>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</si>
  <si>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</si>
  <si>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</si>
  <si>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</si>
  <si>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</si>
  <si>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</si>
  <si>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</si>
  <si>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</si>
  <si>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</si>
  <si>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</si>
  <si>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</si>
  <si>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</si>
  <si>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</si>
  <si>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</si>
  <si>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</si>
  <si>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</si>
  <si>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</si>
  <si>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</si>
  <si>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</si>
  <si>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</si>
  <si>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</si>
  <si>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</si>
  <si>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</si>
  <si>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</si>
  <si>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</si>
  <si>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</si>
  <si>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</si>
  <si>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</si>
  <si>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</si>
  <si>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</si>
  <si>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</si>
  <si>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</si>
  <si>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</si>
  <si>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</si>
  <si>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</si>
  <si>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</si>
  <si>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</si>
  <si>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</si>
  <si>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</si>
  <si>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</si>
  <si>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</si>
  <si>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</si>
  <si>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</si>
  <si>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</si>
  <si>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</si>
  <si>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</si>
  <si>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</si>
  <si>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</si>
  <si>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</si>
  <si>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</si>
  <si>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</si>
  <si>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</si>
  <si>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</si>
  <si>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</si>
  <si>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</si>
  <si>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</si>
  <si>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</si>
  <si>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</si>
  <si>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</si>
  <si>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</si>
  <si>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</si>
  <si>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</si>
  <si>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</si>
  <si>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</si>
  <si>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</si>
  <si>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</si>
  <si>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</si>
  <si>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</si>
  <si>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</si>
  <si>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</si>
  <si>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</si>
  <si>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</si>
  <si>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</si>
  <si>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</si>
  <si>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</si>
  <si>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</si>
  <si>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</si>
  <si>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</si>
  <si>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</si>
  <si>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</si>
  <si>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</si>
  <si>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</si>
  <si>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</si>
  <si>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</si>
  <si>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</si>
  <si>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</si>
  <si>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</si>
  <si>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</si>
  <si>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</si>
  <si>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</si>
  <si>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</si>
  <si>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</si>
  <si>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</si>
  <si>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</si>
  <si>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</si>
  <si>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</si>
  <si>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</si>
  <si>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</si>
  <si>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</si>
  <si>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</si>
  <si>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</si>
  <si>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</si>
  <si>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</si>
  <si>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</si>
  <si>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</si>
  <si>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</si>
  <si>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</si>
  <si>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</si>
  <si>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</si>
  <si>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</si>
  <si>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</si>
  <si>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</si>
  <si>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</si>
  <si>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</si>
  <si>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</si>
  <si>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</si>
  <si>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</si>
  <si>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</si>
  <si>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</si>
  <si>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</si>
  <si>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</si>
  <si>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</si>
  <si>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</si>
  <si>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</si>
  <si>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</si>
  <si>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</si>
  <si>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</si>
  <si>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</si>
  <si>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</si>
  <si>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</si>
  <si>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</si>
  <si>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</si>
  <si>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</si>
  <si>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</si>
  <si>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</si>
  <si>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</si>
  <si>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</si>
  <si>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</si>
  <si>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</si>
  <si>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</si>
  <si>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</si>
  <si>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</si>
  <si>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</si>
  <si>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</si>
  <si>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</si>
  <si>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</si>
  <si>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</si>
  <si>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</si>
  <si>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</si>
  <si>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</si>
  <si>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</si>
  <si>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</si>
  <si>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</si>
  <si>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</si>
  <si>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</si>
  <si>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</si>
  <si>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</si>
  <si>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</si>
  <si>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</si>
  <si>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</si>
  <si>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</si>
  <si>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</si>
  <si>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</si>
  <si>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</si>
  <si>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</si>
  <si>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</si>
  <si>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</si>
  <si>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</si>
  <si>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</si>
  <si>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</si>
  <si>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</si>
  <si>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</si>
  <si>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</si>
  <si>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</si>
  <si>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</si>
  <si>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</si>
  <si>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</si>
  <si>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</si>
  <si>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</si>
  <si>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</si>
  <si>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</si>
  <si>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</si>
  <si>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</si>
  <si>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</si>
  <si>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</si>
  <si>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</si>
  <si>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</si>
  <si>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</si>
  <si>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</si>
  <si>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</si>
  <si>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</si>
  <si>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</si>
  <si>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</si>
  <si>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</si>
  <si>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</si>
  <si>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</si>
  <si>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</si>
  <si>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</si>
  <si>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</si>
  <si>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</si>
  <si>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</si>
  <si>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</si>
  <si>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</si>
  <si>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</si>
  <si>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</si>
  <si>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</si>
  <si>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</si>
  <si>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</si>
  <si>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</si>
  <si>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</si>
  <si>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</si>
  <si>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</si>
  <si>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</si>
  <si>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</si>
  <si>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</si>
  <si>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</si>
  <si>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</si>
  <si>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</si>
  <si>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</si>
  <si>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</si>
  <si>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</si>
  <si>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</si>
  <si>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</si>
  <si>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</si>
  <si>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</si>
  <si>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</si>
  <si>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</si>
  <si>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</si>
  <si>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</si>
  <si>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</si>
  <si>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</si>
  <si>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</si>
  <si>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</si>
  <si>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</si>
  <si>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</si>
  <si>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</si>
  <si>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</si>
  <si>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</si>
  <si>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</si>
  <si>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</si>
  <si>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</si>
  <si>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</si>
  <si>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</si>
  <si>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</si>
  <si>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</si>
  <si>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</si>
  <si>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</si>
  <si>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</si>
  <si>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</si>
  <si>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</si>
  <si>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</si>
  <si>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</si>
  <si>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</si>
  <si>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</si>
  <si>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</si>
  <si>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</si>
  <si>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</si>
  <si>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</si>
  <si>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</si>
  <si>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</si>
  <si>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</si>
  <si>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</si>
  <si>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</si>
  <si>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</si>
  <si>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</si>
  <si>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</si>
  <si>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</si>
  <si>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</si>
  <si>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</si>
  <si>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</si>
  <si>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</si>
  <si>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</si>
  <si>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</si>
  <si>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</si>
  <si>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</si>
  <si>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</si>
  <si>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</si>
  <si>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</si>
  <si>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</si>
  <si>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</si>
  <si>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</si>
  <si>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</si>
  <si>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</si>
  <si>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</si>
  <si>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</si>
  <si>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</si>
  <si>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</si>
  <si>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</si>
  <si>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</si>
  <si>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</si>
  <si>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</si>
  <si>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</si>
  <si>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</si>
  <si>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</si>
  <si>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</si>
  <si>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</si>
  <si>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</si>
  <si>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</si>
  <si>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</si>
  <si>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</si>
  <si>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</si>
  <si>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</si>
  <si>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</si>
  <si>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</si>
  <si>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</si>
  <si>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</si>
  <si>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</si>
  <si>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</si>
  <si>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</si>
  <si>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</si>
  <si>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</si>
  <si>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</si>
  <si>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</si>
  <si>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</si>
  <si>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</si>
  <si>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</si>
  <si>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</si>
  <si>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</si>
  <si>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</si>
  <si>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</si>
  <si>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</si>
  <si>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</si>
  <si>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</si>
  <si>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</si>
  <si>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</si>
  <si>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</si>
  <si>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</si>
  <si>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</si>
  <si>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</si>
  <si>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</si>
  <si>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</si>
  <si>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</si>
  <si>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</si>
  <si>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</si>
  <si>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</si>
  <si>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</si>
  <si>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</si>
  <si>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</si>
  <si>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</si>
  <si>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</si>
  <si>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</si>
  <si>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</si>
  <si>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</si>
  <si>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</si>
  <si>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</si>
  <si>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</si>
  <si>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</si>
  <si>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</si>
  <si>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</si>
  <si>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</si>
  <si>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</si>
  <si>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</si>
  <si>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</si>
  <si>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</si>
  <si>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</si>
  <si>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</si>
  <si>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</si>
  <si>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</si>
  <si>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</si>
  <si>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</si>
  <si>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</si>
  <si>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</si>
  <si>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</si>
  <si>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</si>
  <si>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</si>
  <si>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</si>
  <si>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</si>
  <si>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</si>
  <si>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</si>
  <si>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</si>
  <si>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</si>
  <si>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</si>
  <si>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</si>
  <si>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</si>
  <si>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</si>
  <si>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</si>
  <si>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</si>
  <si>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</si>
  <si>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</si>
  <si>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</si>
  <si>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</si>
  <si>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</si>
  <si>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</si>
  <si>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</si>
  <si>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</si>
  <si>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</si>
  <si>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</si>
  <si>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</si>
  <si>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</si>
  <si>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</si>
  <si>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</si>
  <si>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</si>
  <si>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</si>
  <si>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</si>
  <si>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</si>
  <si>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</si>
  <si>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</si>
  <si>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</si>
  <si>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</si>
  <si>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</si>
  <si>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</si>
  <si>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</si>
  <si>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</si>
  <si>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</si>
  <si>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</si>
  <si>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</si>
  <si>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</si>
  <si>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</si>
  <si>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</si>
  <si>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</si>
  <si>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</si>
  <si>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</si>
  <si>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</si>
  <si>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</si>
  <si>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</si>
  <si>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</si>
  <si>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</si>
  <si>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</si>
  <si>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</si>
  <si>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</si>
  <si>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</si>
  <si>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</si>
  <si>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</si>
  <si>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</si>
  <si>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</si>
  <si>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</si>
  <si>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</si>
  <si>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</si>
  <si>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</si>
  <si>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</si>
  <si>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</si>
  <si>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</si>
  <si>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</si>
  <si>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</si>
  <si>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</si>
  <si>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</si>
  <si>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</si>
  <si>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</si>
  <si>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</si>
  <si>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</si>
  <si>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</si>
  <si>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</si>
  <si>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</si>
  <si>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</si>
  <si>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</si>
  <si>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</si>
  <si>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</si>
  <si>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</si>
  <si>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</si>
  <si>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</si>
  <si>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</si>
  <si>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</si>
  <si>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</si>
  <si>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</si>
  <si>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</si>
  <si>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</si>
  <si>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</si>
  <si>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</si>
  <si>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</si>
  <si>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</si>
  <si>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</si>
  <si>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</si>
  <si>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</si>
  <si>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</si>
  <si>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</si>
  <si>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</si>
  <si>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</si>
  <si>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</si>
  <si>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</si>
  <si>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</si>
  <si>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</si>
  <si>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</si>
  <si>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</si>
  <si>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</si>
  <si>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</si>
  <si>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</si>
  <si>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</si>
  <si>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</si>
  <si>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</si>
  <si>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</si>
  <si>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</si>
  <si>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</si>
  <si>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</si>
  <si>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</si>
  <si>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</si>
  <si>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</si>
  <si>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</si>
  <si>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</si>
  <si>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</si>
  <si>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</si>
  <si>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</si>
  <si>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</si>
  <si>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</si>
  <si>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</si>
  <si>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</si>
  <si>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</si>
  <si>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</si>
  <si>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</si>
  <si>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</si>
  <si>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</si>
  <si>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</si>
  <si>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</si>
  <si>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</si>
  <si>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</si>
  <si>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</si>
  <si>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</si>
  <si>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</si>
  <si>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</si>
  <si>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</si>
  <si>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</si>
  <si>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</si>
  <si>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</si>
  <si>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</si>
  <si>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</si>
  <si>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</si>
  <si>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</si>
  <si>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</si>
  <si>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</si>
  <si>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</si>
  <si>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</si>
  <si>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</si>
  <si>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</si>
  <si>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</si>
  <si>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</si>
  <si>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</si>
  <si>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</si>
  <si>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</si>
  <si>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</si>
  <si>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</si>
  <si>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</si>
  <si>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</si>
  <si>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</si>
  <si>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</si>
  <si>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</si>
  <si>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</si>
  <si>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</si>
  <si>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</si>
  <si>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</si>
  <si>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</si>
  <si>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</si>
  <si>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</si>
  <si>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</si>
  <si>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</si>
  <si>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</si>
  <si>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</si>
  <si>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</si>
  <si>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</si>
  <si>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</si>
  <si>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</si>
  <si>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</si>
  <si>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</si>
  <si>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</si>
  <si>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</si>
  <si>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</si>
  <si>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</si>
  <si>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</si>
  <si>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</si>
  <si>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</si>
  <si>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</si>
  <si>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</si>
  <si>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</si>
  <si>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</si>
  <si>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</si>
  <si>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</si>
  <si>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</si>
  <si>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</si>
  <si>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</si>
  <si>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</si>
  <si>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</si>
  <si>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</si>
  <si>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</si>
  <si>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</si>
  <si>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</si>
  <si>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</si>
  <si>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</si>
  <si>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</si>
  <si>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</si>
  <si>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</si>
  <si>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</si>
  <si>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</si>
  <si>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</si>
  <si>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</si>
  <si>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</si>
  <si>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</si>
  <si>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</si>
  <si>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</si>
  <si>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</si>
  <si>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</si>
  <si>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</si>
  <si>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</si>
  <si>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</si>
  <si>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</si>
  <si>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</si>
  <si>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</si>
  <si>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</si>
  <si>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</si>
  <si>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</si>
  <si>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</si>
  <si>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Piermont contracted with Café Services this year</t>
  </si>
  <si>
    <t>Piermont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</si>
</sst>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5"/>
  <sheetViews>
    <sheetView tabSelected="1" topLeftCell="A517" zoomScale="80" zoomScaleNormal="80" workbookViewId="0">
      <selection activeCell="H540" sqref="H54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910</v>
      </c>
      <c r="B2" s="21">
        <v>435</v>
      </c>
      <c r="C2" s="21">
        <v>435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351688.16+100</f>
        <v>351788.16</v>
      </c>
      <c r="G9" s="18"/>
      <c r="H9" s="18"/>
      <c r="I9" s="18"/>
      <c r="J9" s="67">
        <f>SUM(I438)</f>
        <v>201419.57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>
        <v>1873.36</v>
      </c>
      <c r="H12" s="18"/>
      <c r="I12" s="18">
        <v>183868.5</v>
      </c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15587.5</v>
      </c>
      <c r="G13" s="18">
        <v>2348.66</v>
      </c>
      <c r="H13" s="18">
        <v>7952.97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765.13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368140.79</v>
      </c>
      <c r="G19" s="41">
        <f>SUM(G9:G18)</f>
        <v>4222.0199999999995</v>
      </c>
      <c r="H19" s="41">
        <f>SUM(H9:H18)</f>
        <v>7952.97</v>
      </c>
      <c r="I19" s="41">
        <f>SUM(I9:I18)</f>
        <v>183868.5</v>
      </c>
      <c r="J19" s="41">
        <f>SUM(J9:J18)</f>
        <v>201419.57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177788.89</v>
      </c>
      <c r="G22" s="18"/>
      <c r="H22" s="18">
        <v>7952.97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38067.51</v>
      </c>
      <c r="G24" s="18">
        <v>4222.0200000000004</v>
      </c>
      <c r="H24" s="18"/>
      <c r="I24" s="18">
        <v>29461.48</v>
      </c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1200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91.8+129.24+2.51</f>
        <v>223.55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217279.95</v>
      </c>
      <c r="G32" s="41">
        <f>SUM(G22:G31)</f>
        <v>4222.0200000000004</v>
      </c>
      <c r="H32" s="41">
        <f>SUM(H22:H31)</f>
        <v>7952.97</v>
      </c>
      <c r="I32" s="41">
        <f>SUM(I22:I31)</f>
        <v>29461.48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25000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>
        <v>154407.01999999999</v>
      </c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201419.57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14698.68</v>
      </c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34311+56662.9+20188.26</f>
        <v>111162.15999999999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150860.84</v>
      </c>
      <c r="G50" s="41">
        <f>SUM(G35:G49)</f>
        <v>0</v>
      </c>
      <c r="H50" s="41">
        <f>SUM(H35:H49)</f>
        <v>0</v>
      </c>
      <c r="I50" s="41">
        <f>SUM(I35:I49)</f>
        <v>154407.01999999999</v>
      </c>
      <c r="J50" s="41">
        <f>SUM(J35:J49)</f>
        <v>201419.57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368140.79000000004</v>
      </c>
      <c r="G51" s="41">
        <f>G50+G32</f>
        <v>4222.0200000000004</v>
      </c>
      <c r="H51" s="41">
        <f>H50+H32</f>
        <v>7952.97</v>
      </c>
      <c r="I51" s="41">
        <f>I50+I32</f>
        <v>183868.5</v>
      </c>
      <c r="J51" s="41">
        <f>J50+J32</f>
        <v>201419.57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1151406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1151406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16720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16720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233.25</v>
      </c>
      <c r="G95" s="18"/>
      <c r="H95" s="18"/>
      <c r="I95" s="18"/>
      <c r="J95" s="18">
        <v>9873.18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14242.21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964.29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1461.62</v>
      </c>
      <c r="G109" s="18">
        <v>45.9</v>
      </c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2659.16</v>
      </c>
      <c r="G110" s="41">
        <f>SUM(G95:G109)</f>
        <v>14288.109999999999</v>
      </c>
      <c r="H110" s="41">
        <f>SUM(H95:H109)</f>
        <v>0</v>
      </c>
      <c r="I110" s="41">
        <f>SUM(I95:I109)</f>
        <v>0</v>
      </c>
      <c r="J110" s="41">
        <f>SUM(J95:J109)</f>
        <v>9873.18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1170785.1599999999</v>
      </c>
      <c r="G111" s="41">
        <f>G59+G110</f>
        <v>14288.109999999999</v>
      </c>
      <c r="H111" s="41">
        <f>H59+H78+H93+H110</f>
        <v>0</v>
      </c>
      <c r="I111" s="41">
        <f>I59+I110</f>
        <v>0</v>
      </c>
      <c r="J111" s="41">
        <f>J59+J110</f>
        <v>9873.18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389186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221044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610230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1237.0999999999999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46233.88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41534.78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993.65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331.15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89999.409999999989</v>
      </c>
      <c r="G135" s="41">
        <f>SUM(G122:G134)</f>
        <v>331.15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700229.41</v>
      </c>
      <c r="G139" s="41">
        <f>G120+SUM(G135:G136)</f>
        <v>331.15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>
        <v>12097.85</v>
      </c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25544.240000000002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2161.5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f>2781.03+10952.11</f>
        <v>13733.140000000001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17317.32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17317.32</v>
      </c>
      <c r="G161" s="41">
        <f>SUM(G149:G160)</f>
        <v>13733.140000000001</v>
      </c>
      <c r="H161" s="41">
        <f>SUM(H149:H160)</f>
        <v>39803.590000000004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1710.4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19027.72</v>
      </c>
      <c r="G168" s="41">
        <f>G146+G161+SUM(G162:G167)</f>
        <v>13733.140000000001</v>
      </c>
      <c r="H168" s="41">
        <f>H146+H161+SUM(H162:H167)</f>
        <v>39803.590000000004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23584.82</v>
      </c>
      <c r="H178" s="18"/>
      <c r="I178" s="18">
        <v>121000</v>
      </c>
      <c r="J178" s="18">
        <v>15000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23584.82</v>
      </c>
      <c r="H182" s="41">
        <f>SUM(H178:H181)</f>
        <v>0</v>
      </c>
      <c r="I182" s="41">
        <f>SUM(I178:I181)</f>
        <v>121000</v>
      </c>
      <c r="J182" s="41">
        <f>SUM(J178:J181)</f>
        <v>15000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>
        <v>50538.52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50538.52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23584.82</v>
      </c>
      <c r="H191" s="41">
        <f>+H182+SUM(H187:H190)</f>
        <v>0</v>
      </c>
      <c r="I191" s="41">
        <f>I176+I182+SUM(I187:I190)</f>
        <v>171538.52</v>
      </c>
      <c r="J191" s="41">
        <f>J182</f>
        <v>15000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1890042.2899999998</v>
      </c>
      <c r="G192" s="47">
        <f>G111+G139+G168+G191</f>
        <v>51937.22</v>
      </c>
      <c r="H192" s="47">
        <f>H111+H139+H168+H191</f>
        <v>39803.590000000004</v>
      </c>
      <c r="I192" s="47">
        <f>I111+I139+I168+I191</f>
        <v>171538.52</v>
      </c>
      <c r="J192" s="47">
        <f>J111+J139+J191</f>
        <v>24873.18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385116.03</v>
      </c>
      <c r="G196" s="18">
        <v>123560.75</v>
      </c>
      <c r="H196" s="18">
        <f>27635.26+385.58</f>
        <v>28020.84</v>
      </c>
      <c r="I196" s="18">
        <v>18418.310000000001</v>
      </c>
      <c r="J196" s="18">
        <v>10417.84</v>
      </c>
      <c r="K196" s="18">
        <v>838.66</v>
      </c>
      <c r="L196" s="19">
        <f>SUM(F196:K196)</f>
        <v>566372.43000000005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67403.990000000005</v>
      </c>
      <c r="G197" s="18">
        <v>32866.69</v>
      </c>
      <c r="H197" s="18">
        <f>1130.52+153.68</f>
        <v>1284.2</v>
      </c>
      <c r="I197" s="18">
        <v>4808.1000000000004</v>
      </c>
      <c r="J197" s="18"/>
      <c r="K197" s="18"/>
      <c r="L197" s="19">
        <f>SUM(F197:K197)</f>
        <v>106362.98000000001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6774.43</v>
      </c>
      <c r="G199" s="18">
        <v>1021.06</v>
      </c>
      <c r="H199" s="18">
        <v>625</v>
      </c>
      <c r="I199" s="18">
        <v>1100.04</v>
      </c>
      <c r="J199" s="18">
        <v>4571.16</v>
      </c>
      <c r="K199" s="18">
        <v>1238.55</v>
      </c>
      <c r="L199" s="19">
        <f>SUM(F199:K199)</f>
        <v>15330.239999999998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5951.9</v>
      </c>
      <c r="G201" s="18">
        <v>470.22</v>
      </c>
      <c r="H201" s="18">
        <f>45770.69+882</f>
        <v>46652.69</v>
      </c>
      <c r="I201" s="18">
        <v>1749.07</v>
      </c>
      <c r="J201" s="18"/>
      <c r="K201" s="18">
        <v>1589.95</v>
      </c>
      <c r="L201" s="19">
        <f t="shared" ref="L201:L207" si="0">SUM(F201:K201)</f>
        <v>56413.83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49973.45</v>
      </c>
      <c r="G202" s="18">
        <v>24033.8</v>
      </c>
      <c r="H202" s="18">
        <f>5793.43+1659.64</f>
        <v>7453.0700000000006</v>
      </c>
      <c r="I202" s="18">
        <v>3732.53</v>
      </c>
      <c r="J202" s="18"/>
      <c r="K202" s="18">
        <v>130</v>
      </c>
      <c r="L202" s="19">
        <f t="shared" si="0"/>
        <v>85322.85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756.7</v>
      </c>
      <c r="G203" s="18">
        <v>57.93</v>
      </c>
      <c r="H203" s="18">
        <f>56483.4+1739.69</f>
        <v>58223.090000000004</v>
      </c>
      <c r="I203" s="18">
        <v>208.88</v>
      </c>
      <c r="J203" s="18"/>
      <c r="K203" s="18">
        <v>1361.92</v>
      </c>
      <c r="L203" s="19">
        <f t="shared" si="0"/>
        <v>60608.52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75483.22</v>
      </c>
      <c r="G204" s="18">
        <v>24778.69</v>
      </c>
      <c r="H204" s="18">
        <v>2815.58</v>
      </c>
      <c r="I204" s="18">
        <v>1197</v>
      </c>
      <c r="J204" s="18">
        <v>840</v>
      </c>
      <c r="K204" s="18">
        <v>731</v>
      </c>
      <c r="L204" s="19">
        <f t="shared" si="0"/>
        <v>105845.49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32365.53</v>
      </c>
      <c r="G206" s="18">
        <v>12892.77</v>
      </c>
      <c r="H206" s="18">
        <f>519.9+55016.61+653</f>
        <v>56189.51</v>
      </c>
      <c r="I206" s="18">
        <v>30798.39</v>
      </c>
      <c r="J206" s="18">
        <v>36326.22</v>
      </c>
      <c r="K206" s="18">
        <v>100</v>
      </c>
      <c r="L206" s="19">
        <f t="shared" si="0"/>
        <v>168672.42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33473.57</v>
      </c>
      <c r="I207" s="18"/>
      <c r="J207" s="18"/>
      <c r="K207" s="18"/>
      <c r="L207" s="19">
        <f t="shared" si="0"/>
        <v>33473.57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>
        <f>1717.89</f>
        <v>1717.89</v>
      </c>
      <c r="I208" s="18"/>
      <c r="J208" s="18"/>
      <c r="K208" s="18"/>
      <c r="L208" s="19">
        <f>SUM(F208:K208)</f>
        <v>1717.89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623825.25000000012</v>
      </c>
      <c r="G210" s="41">
        <f t="shared" si="1"/>
        <v>219681.90999999997</v>
      </c>
      <c r="H210" s="41">
        <f t="shared" si="1"/>
        <v>236455.44000000003</v>
      </c>
      <c r="I210" s="41">
        <f t="shared" si="1"/>
        <v>62012.320000000007</v>
      </c>
      <c r="J210" s="41">
        <f t="shared" si="1"/>
        <v>52155.22</v>
      </c>
      <c r="K210" s="41">
        <f t="shared" si="1"/>
        <v>5990.08</v>
      </c>
      <c r="L210" s="41">
        <f t="shared" si="1"/>
        <v>1200120.22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f>339277.75-3618.75</f>
        <v>335659</v>
      </c>
      <c r="I232" s="18"/>
      <c r="J232" s="18"/>
      <c r="K232" s="18"/>
      <c r="L232" s="19">
        <f>SUM(F232:K232)</f>
        <v>335659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f>3825+72054.48</f>
        <v>75879.48</v>
      </c>
      <c r="I233" s="18"/>
      <c r="J233" s="18">
        <v>2857.2</v>
      </c>
      <c r="K233" s="18"/>
      <c r="L233" s="19">
        <f>SUM(F233:K233)</f>
        <v>78736.679999999993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v>58680</v>
      </c>
      <c r="I234" s="18"/>
      <c r="J234" s="18"/>
      <c r="K234" s="18"/>
      <c r="L234" s="19">
        <f>SUM(F234:K234)</f>
        <v>58680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>
        <v>430</v>
      </c>
      <c r="I235" s="18"/>
      <c r="J235" s="18"/>
      <c r="K235" s="18"/>
      <c r="L235" s="19">
        <f>SUM(F235:K235)</f>
        <v>430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>
        <v>3590.79</v>
      </c>
      <c r="I237" s="18"/>
      <c r="J237" s="18"/>
      <c r="K237" s="18"/>
      <c r="L237" s="19">
        <f t="shared" ref="L237:L243" si="4">SUM(F237:K237)</f>
        <v>3590.79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500.8</v>
      </c>
      <c r="G239" s="18">
        <v>38.299999999999997</v>
      </c>
      <c r="H239" s="18">
        <f>37459.6+1159.81</f>
        <v>38619.409999999996</v>
      </c>
      <c r="I239" s="18">
        <v>69.53</v>
      </c>
      <c r="J239" s="18"/>
      <c r="K239" s="18">
        <v>907.94</v>
      </c>
      <c r="L239" s="19">
        <f t="shared" si="4"/>
        <v>40135.979999999996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f>19435.3</f>
        <v>19435.3</v>
      </c>
      <c r="I243" s="18"/>
      <c r="J243" s="18"/>
      <c r="K243" s="18"/>
      <c r="L243" s="19">
        <f t="shared" si="4"/>
        <v>19435.3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500.8</v>
      </c>
      <c r="G246" s="41">
        <f t="shared" si="5"/>
        <v>38.299999999999997</v>
      </c>
      <c r="H246" s="41">
        <f t="shared" si="5"/>
        <v>532293.98</v>
      </c>
      <c r="I246" s="41">
        <f t="shared" si="5"/>
        <v>69.53</v>
      </c>
      <c r="J246" s="41">
        <f t="shared" si="5"/>
        <v>2857.2</v>
      </c>
      <c r="K246" s="41">
        <f t="shared" si="5"/>
        <v>907.94</v>
      </c>
      <c r="L246" s="41">
        <f t="shared" si="5"/>
        <v>536667.75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624326.05000000016</v>
      </c>
      <c r="G256" s="41">
        <f t="shared" si="8"/>
        <v>219720.20999999996</v>
      </c>
      <c r="H256" s="41">
        <f t="shared" si="8"/>
        <v>768749.42</v>
      </c>
      <c r="I256" s="41">
        <f t="shared" si="8"/>
        <v>62081.850000000006</v>
      </c>
      <c r="J256" s="41">
        <f t="shared" si="8"/>
        <v>55012.42</v>
      </c>
      <c r="K256" s="41">
        <f t="shared" si="8"/>
        <v>6898.02</v>
      </c>
      <c r="L256" s="41">
        <f t="shared" si="8"/>
        <v>1736787.97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23584.82</v>
      </c>
      <c r="L262" s="19">
        <f>SUM(F262:K262)</f>
        <v>23584.82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121000</v>
      </c>
      <c r="L264" s="19">
        <f t="shared" si="9"/>
        <v>121000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15000</v>
      </c>
      <c r="L265" s="19">
        <f t="shared" si="9"/>
        <v>15000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159584.82</v>
      </c>
      <c r="L269" s="41">
        <f t="shared" si="9"/>
        <v>159584.82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624326.05000000016</v>
      </c>
      <c r="G270" s="42">
        <f t="shared" si="11"/>
        <v>219720.20999999996</v>
      </c>
      <c r="H270" s="42">
        <f t="shared" si="11"/>
        <v>768749.42</v>
      </c>
      <c r="I270" s="42">
        <f t="shared" si="11"/>
        <v>62081.850000000006</v>
      </c>
      <c r="J270" s="42">
        <f t="shared" si="11"/>
        <v>55012.42</v>
      </c>
      <c r="K270" s="42">
        <f t="shared" si="11"/>
        <v>166482.84</v>
      </c>
      <c r="L270" s="42">
        <f t="shared" si="11"/>
        <v>1896372.79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/>
      <c r="K275" s="18"/>
      <c r="L275" s="19">
        <f>SUM(F275:K275)</f>
        <v>0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23555.54</v>
      </c>
      <c r="G276" s="18">
        <v>8707.9500000000007</v>
      </c>
      <c r="H276" s="18"/>
      <c r="I276" s="18">
        <v>4819.9799999999996</v>
      </c>
      <c r="J276" s="18"/>
      <c r="K276" s="18"/>
      <c r="L276" s="19">
        <f>SUM(F276:K276)</f>
        <v>37083.47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1500</v>
      </c>
      <c r="G278" s="18">
        <v>284.26</v>
      </c>
      <c r="H278" s="18"/>
      <c r="I278" s="18"/>
      <c r="J278" s="18"/>
      <c r="K278" s="18"/>
      <c r="L278" s="19">
        <f>SUM(F278:K278)</f>
        <v>1784.26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>
        <v>475</v>
      </c>
      <c r="I281" s="18"/>
      <c r="J281" s="18"/>
      <c r="K281" s="18"/>
      <c r="L281" s="19">
        <f t="shared" si="12"/>
        <v>475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>
        <v>460.86</v>
      </c>
      <c r="L282" s="19">
        <f t="shared" si="12"/>
        <v>460.86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25055.54</v>
      </c>
      <c r="G289" s="42">
        <f t="shared" si="13"/>
        <v>8992.2100000000009</v>
      </c>
      <c r="H289" s="42">
        <f t="shared" si="13"/>
        <v>475</v>
      </c>
      <c r="I289" s="42">
        <f t="shared" si="13"/>
        <v>4819.9799999999996</v>
      </c>
      <c r="J289" s="42">
        <f t="shared" si="13"/>
        <v>0</v>
      </c>
      <c r="K289" s="42">
        <f t="shared" si="13"/>
        <v>460.86</v>
      </c>
      <c r="L289" s="41">
        <f t="shared" si="13"/>
        <v>39803.590000000004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25055.54</v>
      </c>
      <c r="G337" s="41">
        <f t="shared" si="20"/>
        <v>8992.2100000000009</v>
      </c>
      <c r="H337" s="41">
        <f t="shared" si="20"/>
        <v>475</v>
      </c>
      <c r="I337" s="41">
        <f t="shared" si="20"/>
        <v>4819.9799999999996</v>
      </c>
      <c r="J337" s="41">
        <f t="shared" si="20"/>
        <v>0</v>
      </c>
      <c r="K337" s="41">
        <f t="shared" si="20"/>
        <v>460.86</v>
      </c>
      <c r="L337" s="41">
        <f t="shared" si="20"/>
        <v>39803.590000000004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25055.54</v>
      </c>
      <c r="G351" s="41">
        <f>G337</f>
        <v>8992.2100000000009</v>
      </c>
      <c r="H351" s="41">
        <f>H337</f>
        <v>475</v>
      </c>
      <c r="I351" s="41">
        <f>I337</f>
        <v>4819.9799999999996</v>
      </c>
      <c r="J351" s="41">
        <f>J337</f>
        <v>0</v>
      </c>
      <c r="K351" s="47">
        <f>K337+K350</f>
        <v>460.86</v>
      </c>
      <c r="L351" s="41">
        <f>L337+L350</f>
        <v>39803.590000000004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>
        <f>50111.93+618.96+1629.26</f>
        <v>52360.15</v>
      </c>
      <c r="I357" s="18">
        <v>196.03</v>
      </c>
      <c r="J357" s="18"/>
      <c r="K357" s="18"/>
      <c r="L357" s="13">
        <f>SUM(F357:K357)</f>
        <v>52556.18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52360.15</v>
      </c>
      <c r="I361" s="47">
        <f t="shared" si="22"/>
        <v>196.03</v>
      </c>
      <c r="J361" s="47">
        <f t="shared" si="22"/>
        <v>0</v>
      </c>
      <c r="K361" s="47">
        <f t="shared" si="22"/>
        <v>0</v>
      </c>
      <c r="L361" s="47">
        <f t="shared" si="22"/>
        <v>52556.18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196.03</v>
      </c>
      <c r="G367" s="63"/>
      <c r="H367" s="63"/>
      <c r="I367" s="56">
        <f>SUM(F367:H367)</f>
        <v>196.03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196.03</v>
      </c>
      <c r="G368" s="47">
        <f>SUM(G366:G367)</f>
        <v>0</v>
      </c>
      <c r="H368" s="47">
        <f>SUM(H366:H367)</f>
        <v>0</v>
      </c>
      <c r="I368" s="47">
        <f>SUM(I366:I367)</f>
        <v>196.03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>
        <v>17131.5</v>
      </c>
      <c r="I374" s="18"/>
      <c r="J374" s="18"/>
      <c r="K374" s="18"/>
      <c r="L374" s="13">
        <f t="shared" ref="L374:L380" si="23">SUM(F374:K374)</f>
        <v>17131.5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17131.5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17131.5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>
        <v>20.28</v>
      </c>
      <c r="I388" s="18"/>
      <c r="J388" s="24" t="s">
        <v>289</v>
      </c>
      <c r="K388" s="24" t="s">
        <v>289</v>
      </c>
      <c r="L388" s="56">
        <f t="shared" si="25"/>
        <v>20.28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20.28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20.28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>
        <v>9.4</v>
      </c>
      <c r="I395" s="18"/>
      <c r="J395" s="24" t="s">
        <v>289</v>
      </c>
      <c r="K395" s="24" t="s">
        <v>289</v>
      </c>
      <c r="L395" s="56">
        <f t="shared" si="26"/>
        <v>9.4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15000</v>
      </c>
      <c r="H396" s="18">
        <v>11.52</v>
      </c>
      <c r="I396" s="18"/>
      <c r="J396" s="24" t="s">
        <v>289</v>
      </c>
      <c r="K396" s="24" t="s">
        <v>289</v>
      </c>
      <c r="L396" s="56">
        <f t="shared" si="26"/>
        <v>15011.52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>
        <v>7.42</v>
      </c>
      <c r="I397" s="18"/>
      <c r="J397" s="24" t="s">
        <v>289</v>
      </c>
      <c r="K397" s="24" t="s">
        <v>289</v>
      </c>
      <c r="L397" s="56">
        <f t="shared" si="26"/>
        <v>7.42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>
        <v>1.78</v>
      </c>
      <c r="I398" s="18"/>
      <c r="J398" s="24" t="s">
        <v>289</v>
      </c>
      <c r="K398" s="24" t="s">
        <v>289</v>
      </c>
      <c r="L398" s="56">
        <f t="shared" si="26"/>
        <v>1.78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>
        <v>9822.7800000000007</v>
      </c>
      <c r="I399" s="18"/>
      <c r="J399" s="24" t="s">
        <v>289</v>
      </c>
      <c r="K399" s="24" t="s">
        <v>289</v>
      </c>
      <c r="L399" s="56">
        <f t="shared" si="26"/>
        <v>9822.7800000000007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15000</v>
      </c>
      <c r="H400" s="47">
        <f>SUM(H394:H399)</f>
        <v>9852.9000000000015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24852.9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15000</v>
      </c>
      <c r="H407" s="47">
        <f>H392+H400+H406</f>
        <v>9873.1800000000021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24873.18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>
        <v>80000</v>
      </c>
      <c r="L414" s="56">
        <f t="shared" si="27"/>
        <v>80000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80000</v>
      </c>
      <c r="L418" s="47">
        <f t="shared" si="28"/>
        <v>80000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80000</v>
      </c>
      <c r="L433" s="47">
        <f t="shared" si="32"/>
        <v>80000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897.67</v>
      </c>
      <c r="G438" s="18">
        <f>201419.57-897.67</f>
        <v>200521.9</v>
      </c>
      <c r="H438" s="18"/>
      <c r="I438" s="56">
        <f t="shared" ref="I438:I444" si="33">SUM(F438:H438)</f>
        <v>201419.57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897.67</v>
      </c>
      <c r="G445" s="13">
        <f>SUM(G438:G444)</f>
        <v>200521.9</v>
      </c>
      <c r="H445" s="13">
        <f>SUM(H438:H444)</f>
        <v>0</v>
      </c>
      <c r="I445" s="13">
        <f>SUM(I438:I444)</f>
        <v>201419.57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897.67</v>
      </c>
      <c r="G458" s="18">
        <v>200521.9</v>
      </c>
      <c r="H458" s="18"/>
      <c r="I458" s="56">
        <f t="shared" si="34"/>
        <v>201419.57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897.67</v>
      </c>
      <c r="G459" s="83">
        <f>SUM(G453:G458)</f>
        <v>200521.9</v>
      </c>
      <c r="H459" s="83">
        <f>SUM(H453:H458)</f>
        <v>0</v>
      </c>
      <c r="I459" s="83">
        <f>SUM(I453:I458)</f>
        <v>201419.57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897.67</v>
      </c>
      <c r="G460" s="42">
        <f>G451+G459</f>
        <v>200521.9</v>
      </c>
      <c r="H460" s="42">
        <f>H451+H459</f>
        <v>0</v>
      </c>
      <c r="I460" s="42">
        <f>I451+I459</f>
        <v>201419.57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157191.34000000008</v>
      </c>
      <c r="G464" s="18">
        <v>618.95999999999913</v>
      </c>
      <c r="H464" s="18">
        <v>0</v>
      </c>
      <c r="I464" s="18">
        <v>0</v>
      </c>
      <c r="J464" s="18">
        <v>256546.38999999996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1890042.29</v>
      </c>
      <c r="G467" s="18">
        <f>2781.03+49156.19</f>
        <v>51937.22</v>
      </c>
      <c r="H467" s="18">
        <v>39803.589999999997</v>
      </c>
      <c r="I467" s="18">
        <v>171538.52</v>
      </c>
      <c r="J467" s="18">
        <f>9873.18+15000</f>
        <v>24873.18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1890042.29</v>
      </c>
      <c r="G469" s="53">
        <f>SUM(G467:G468)</f>
        <v>51937.22</v>
      </c>
      <c r="H469" s="53">
        <f>SUM(H467:H468)</f>
        <v>39803.589999999997</v>
      </c>
      <c r="I469" s="53">
        <f>SUM(I467:I468)</f>
        <v>171538.52</v>
      </c>
      <c r="J469" s="53">
        <f>SUM(J467:J468)</f>
        <v>24873.18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1896991.75-618.96</f>
        <v>1896372.79</v>
      </c>
      <c r="G471" s="18">
        <f>49156.19+2781.03+618.96</f>
        <v>52556.18</v>
      </c>
      <c r="H471" s="18">
        <v>39803.589999999997</v>
      </c>
      <c r="I471" s="18">
        <v>17131.5</v>
      </c>
      <c r="J471" s="18">
        <v>80000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1896372.79</v>
      </c>
      <c r="G473" s="53">
        <f>SUM(G471:G472)</f>
        <v>52556.18</v>
      </c>
      <c r="H473" s="53">
        <f>SUM(H471:H472)</f>
        <v>39803.589999999997</v>
      </c>
      <c r="I473" s="53">
        <f>SUM(I471:I472)</f>
        <v>17131.5</v>
      </c>
      <c r="J473" s="53">
        <f>SUM(J471:J472)</f>
        <v>80000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150860.84000000008</v>
      </c>
      <c r="G475" s="53">
        <f>(G464+G469)- G473</f>
        <v>0</v>
      </c>
      <c r="H475" s="53">
        <f>(H464+H469)- H473</f>
        <v>0</v>
      </c>
      <c r="I475" s="53">
        <f>(I464+I469)- I473</f>
        <v>154407.01999999999</v>
      </c>
      <c r="J475" s="53">
        <f>(J464+J469)- J473</f>
        <v>201419.56999999995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0</v>
      </c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/>
      <c r="G497" s="204"/>
      <c r="H497" s="204"/>
      <c r="I497" s="204"/>
      <c r="J497" s="204"/>
      <c r="K497" s="205">
        <f t="shared" si="35"/>
        <v>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/>
      <c r="G500" s="204"/>
      <c r="H500" s="204"/>
      <c r="I500" s="204"/>
      <c r="J500" s="204"/>
      <c r="K500" s="205">
        <f t="shared" si="35"/>
        <v>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67203.990000000005</v>
      </c>
      <c r="G520" s="18">
        <v>32828.79</v>
      </c>
      <c r="H520" s="18">
        <f>1130.52+153.68</f>
        <v>1284.2</v>
      </c>
      <c r="I520" s="18">
        <v>1642.8</v>
      </c>
      <c r="J520" s="18"/>
      <c r="K520" s="18"/>
      <c r="L520" s="88">
        <f>SUM(F520:K520)</f>
        <v>102959.78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f>3825+72054.48</f>
        <v>75879.48</v>
      </c>
      <c r="I522" s="18"/>
      <c r="J522" s="18">
        <v>2857.2</v>
      </c>
      <c r="K522" s="18"/>
      <c r="L522" s="88">
        <f>SUM(F522:K522)</f>
        <v>78736.679999999993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67203.990000000005</v>
      </c>
      <c r="G523" s="108">
        <f t="shared" ref="G523:L523" si="36">SUM(G520:G522)</f>
        <v>32828.79</v>
      </c>
      <c r="H523" s="108">
        <f t="shared" si="36"/>
        <v>77163.679999999993</v>
      </c>
      <c r="I523" s="108">
        <f t="shared" si="36"/>
        <v>1642.8</v>
      </c>
      <c r="J523" s="108">
        <f t="shared" si="36"/>
        <v>2857.2</v>
      </c>
      <c r="K523" s="108">
        <f t="shared" si="36"/>
        <v>0</v>
      </c>
      <c r="L523" s="89">
        <f t="shared" si="36"/>
        <v>181696.46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v>31245.22</v>
      </c>
      <c r="I525" s="18">
        <v>378.71</v>
      </c>
      <c r="J525" s="18"/>
      <c r="K525" s="18"/>
      <c r="L525" s="88">
        <f>SUM(F525:K525)</f>
        <v>31623.93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>
        <v>3590.79</v>
      </c>
      <c r="I527" s="18"/>
      <c r="J527" s="18"/>
      <c r="K527" s="18"/>
      <c r="L527" s="88">
        <f>SUM(F527:K527)</f>
        <v>3590.79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34836.01</v>
      </c>
      <c r="I528" s="89">
        <f t="shared" si="37"/>
        <v>378.71</v>
      </c>
      <c r="J528" s="89">
        <f t="shared" si="37"/>
        <v>0</v>
      </c>
      <c r="K528" s="89">
        <f t="shared" si="37"/>
        <v>0</v>
      </c>
      <c r="L528" s="89">
        <f t="shared" si="37"/>
        <v>35214.720000000001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>
        <v>11174</v>
      </c>
      <c r="I530" s="18"/>
      <c r="J530" s="18"/>
      <c r="K530" s="18"/>
      <c r="L530" s="88">
        <f>SUM(F530:K530)</f>
        <v>11174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>
        <v>6848</v>
      </c>
      <c r="I532" s="18"/>
      <c r="J532" s="18"/>
      <c r="K532" s="18"/>
      <c r="L532" s="88">
        <f>SUM(F532:K532)</f>
        <v>6848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18022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18022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3466.62</v>
      </c>
      <c r="I540" s="18"/>
      <c r="J540" s="18"/>
      <c r="K540" s="18"/>
      <c r="L540" s="88">
        <f>SUM(F540:K540)</f>
        <v>3466.62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3466.62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3466.62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67203.990000000005</v>
      </c>
      <c r="G544" s="89">
        <f t="shared" ref="G544:L544" si="41">G523+G528+G533+G538+G543</f>
        <v>32828.79</v>
      </c>
      <c r="H544" s="89">
        <f t="shared" si="41"/>
        <v>133488.31</v>
      </c>
      <c r="I544" s="89">
        <f t="shared" si="41"/>
        <v>2021.51</v>
      </c>
      <c r="J544" s="89">
        <f t="shared" si="41"/>
        <v>2857.2</v>
      </c>
      <c r="K544" s="89">
        <f t="shared" si="41"/>
        <v>0</v>
      </c>
      <c r="L544" s="89">
        <f t="shared" si="41"/>
        <v>238399.8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102959.78</v>
      </c>
      <c r="G548" s="87">
        <f>L525</f>
        <v>31623.93</v>
      </c>
      <c r="H548" s="87">
        <f>L530</f>
        <v>11174</v>
      </c>
      <c r="I548" s="87">
        <f>L535</f>
        <v>0</v>
      </c>
      <c r="J548" s="87">
        <f>L540</f>
        <v>3466.62</v>
      </c>
      <c r="K548" s="87">
        <f>SUM(F548:J548)</f>
        <v>149224.32999999999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78736.679999999993</v>
      </c>
      <c r="G550" s="87">
        <f>L527</f>
        <v>3590.79</v>
      </c>
      <c r="H550" s="87">
        <f>L532</f>
        <v>6848</v>
      </c>
      <c r="I550" s="87">
        <f>L537</f>
        <v>0</v>
      </c>
      <c r="J550" s="87">
        <f>L542</f>
        <v>0</v>
      </c>
      <c r="K550" s="87">
        <f>SUM(F550:J550)</f>
        <v>89175.469999999987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181696.46</v>
      </c>
      <c r="G551" s="89">
        <f t="shared" si="42"/>
        <v>35214.720000000001</v>
      </c>
      <c r="H551" s="89">
        <f t="shared" si="42"/>
        <v>18022</v>
      </c>
      <c r="I551" s="89">
        <f t="shared" si="42"/>
        <v>0</v>
      </c>
      <c r="J551" s="89">
        <f t="shared" si="42"/>
        <v>3466.62</v>
      </c>
      <c r="K551" s="89">
        <f t="shared" si="42"/>
        <v>238399.8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>
        <v>23155.54</v>
      </c>
      <c r="G556" s="18">
        <v>8632.15</v>
      </c>
      <c r="H556" s="18"/>
      <c r="I556" s="18">
        <v>3134.28</v>
      </c>
      <c r="J556" s="18"/>
      <c r="K556" s="18"/>
      <c r="L556" s="88">
        <f>SUM(F556:K556)</f>
        <v>34921.97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23155.54</v>
      </c>
      <c r="G559" s="108">
        <f t="shared" si="43"/>
        <v>8632.15</v>
      </c>
      <c r="H559" s="108">
        <f t="shared" si="43"/>
        <v>0</v>
      </c>
      <c r="I559" s="108">
        <f t="shared" si="43"/>
        <v>3134.28</v>
      </c>
      <c r="J559" s="108">
        <f t="shared" si="43"/>
        <v>0</v>
      </c>
      <c r="K559" s="108">
        <f t="shared" si="43"/>
        <v>0</v>
      </c>
      <c r="L559" s="89">
        <f t="shared" si="43"/>
        <v>34921.97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23155.54</v>
      </c>
      <c r="G570" s="89">
        <f t="shared" ref="G570:L570" si="46">G559+G564+G569</f>
        <v>8632.15</v>
      </c>
      <c r="H570" s="89">
        <f t="shared" si="46"/>
        <v>0</v>
      </c>
      <c r="I570" s="89">
        <f t="shared" si="46"/>
        <v>3134.28</v>
      </c>
      <c r="J570" s="89">
        <f t="shared" si="46"/>
        <v>0</v>
      </c>
      <c r="K570" s="89">
        <f t="shared" si="46"/>
        <v>0</v>
      </c>
      <c r="L570" s="89">
        <f t="shared" si="46"/>
        <v>34921.97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59222.75</v>
      </c>
      <c r="I574" s="87">
        <f>SUM(F574:H574)</f>
        <v>59222.75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>
        <v>280055</v>
      </c>
      <c r="I575" s="87">
        <f t="shared" ref="I575:I586" si="47">SUM(F575:H575)</f>
        <v>280055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>
        <v>5698.99</v>
      </c>
      <c r="I578" s="87">
        <f t="shared" si="47"/>
        <v>5698.99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>
        <v>43225.15</v>
      </c>
      <c r="I579" s="87">
        <f t="shared" si="47"/>
        <v>43225.15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>
        <v>23130.34</v>
      </c>
      <c r="I581" s="87">
        <f t="shared" si="47"/>
        <v>23130.34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>
        <v>58680</v>
      </c>
      <c r="I584" s="87">
        <f t="shared" si="47"/>
        <v>58680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28215.7</v>
      </c>
      <c r="I590" s="18"/>
      <c r="J590" s="18">
        <v>18810.490000000002</v>
      </c>
      <c r="K590" s="104">
        <f t="shared" ref="K590:K596" si="48">SUM(H590:J590)</f>
        <v>47026.19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3466.62</v>
      </c>
      <c r="I591" s="18"/>
      <c r="J591" s="18"/>
      <c r="K591" s="104">
        <f t="shared" si="48"/>
        <v>3466.62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624.80999999999995</v>
      </c>
      <c r="K592" s="104">
        <f t="shared" si="48"/>
        <v>624.80999999999995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1791.25</v>
      </c>
      <c r="I594" s="18"/>
      <c r="J594" s="18"/>
      <c r="K594" s="104">
        <f t="shared" si="48"/>
        <v>1791.25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33473.57</v>
      </c>
      <c r="I597" s="108">
        <f>SUM(I590:I596)</f>
        <v>0</v>
      </c>
      <c r="J597" s="108">
        <f>SUM(J590:J596)</f>
        <v>19435.300000000003</v>
      </c>
      <c r="K597" s="108">
        <f>SUM(K590:K596)</f>
        <v>52908.87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52155.22</v>
      </c>
      <c r="I603" s="18"/>
      <c r="J603" s="18">
        <v>2857.2</v>
      </c>
      <c r="K603" s="104">
        <f>SUM(H603:J603)</f>
        <v>55012.42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52155.22</v>
      </c>
      <c r="I604" s="108">
        <f>SUM(I601:I603)</f>
        <v>0</v>
      </c>
      <c r="J604" s="108">
        <f>SUM(J601:J603)</f>
        <v>2857.2</v>
      </c>
      <c r="K604" s="108">
        <f>SUM(K601:K603)</f>
        <v>55012.42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7349.43</v>
      </c>
      <c r="G610" s="18">
        <v>1234.55</v>
      </c>
      <c r="H610" s="18"/>
      <c r="I610" s="18"/>
      <c r="J610" s="18"/>
      <c r="K610" s="18"/>
      <c r="L610" s="88">
        <f>SUM(F610:K610)</f>
        <v>8583.98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>
        <v>430</v>
      </c>
      <c r="I612" s="18"/>
      <c r="J612" s="18"/>
      <c r="K612" s="18"/>
      <c r="L612" s="88">
        <f>SUM(F612:K612)</f>
        <v>430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7349.43</v>
      </c>
      <c r="G613" s="108">
        <f t="shared" si="49"/>
        <v>1234.55</v>
      </c>
      <c r="H613" s="108">
        <f t="shared" si="49"/>
        <v>430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9013.98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368140.79</v>
      </c>
      <c r="H616" s="109">
        <f>SUM(F51)</f>
        <v>368140.79000000004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4222.0199999999995</v>
      </c>
      <c r="H617" s="109">
        <f>SUM(G51)</f>
        <v>4222.0200000000004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7952.97</v>
      </c>
      <c r="H618" s="109">
        <f>SUM(H51)</f>
        <v>7952.97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183868.5</v>
      </c>
      <c r="H619" s="109">
        <f>SUM(I51)</f>
        <v>183868.5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201419.57</v>
      </c>
      <c r="H620" s="109">
        <f>SUM(J51)</f>
        <v>201419.57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150860.84</v>
      </c>
      <c r="H621" s="109">
        <f>F475</f>
        <v>150860.84000000008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154407.01999999999</v>
      </c>
      <c r="H624" s="109">
        <f>I475</f>
        <v>154407.01999999999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201419.57</v>
      </c>
      <c r="H625" s="109">
        <f>J475</f>
        <v>201419.56999999995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1890042.2899999998</v>
      </c>
      <c r="H626" s="104">
        <f>SUM(F467)</f>
        <v>1890042.29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51937.22</v>
      </c>
      <c r="H627" s="104">
        <f>SUM(G467)</f>
        <v>51937.22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39803.590000000004</v>
      </c>
      <c r="H628" s="104">
        <f>SUM(H467)</f>
        <v>39803.589999999997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171538.52</v>
      </c>
      <c r="H629" s="104">
        <f>SUM(I467)</f>
        <v>171538.52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24873.18</v>
      </c>
      <c r="H630" s="104">
        <f>SUM(J467)</f>
        <v>24873.18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1896372.79</v>
      </c>
      <c r="H631" s="104">
        <f>SUM(F471)</f>
        <v>1896372.79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39803.590000000004</v>
      </c>
      <c r="H632" s="104">
        <f>SUM(H471)</f>
        <v>39803.589999999997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196.03</v>
      </c>
      <c r="H633" s="104">
        <f>I368</f>
        <v>196.03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52556.18</v>
      </c>
      <c r="H634" s="104">
        <f>SUM(G471)</f>
        <v>52556.18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17131.5</v>
      </c>
      <c r="H635" s="104">
        <f>SUM(I471)</f>
        <v>17131.5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24873.18</v>
      </c>
      <c r="H636" s="164">
        <f>SUM(J467)</f>
        <v>24873.18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80000</v>
      </c>
      <c r="H637" s="164">
        <f>SUM(J471)</f>
        <v>80000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897.67</v>
      </c>
      <c r="H638" s="104">
        <f>SUM(F460)</f>
        <v>897.67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200521.9</v>
      </c>
      <c r="H639" s="104">
        <f>SUM(G460)</f>
        <v>200521.9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201419.57</v>
      </c>
      <c r="H641" s="104">
        <f>SUM(I460)</f>
        <v>201419.57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9873.18</v>
      </c>
      <c r="H643" s="104">
        <f>H407</f>
        <v>9873.1800000000021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15000</v>
      </c>
      <c r="H644" s="104">
        <f>G407</f>
        <v>15000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24873.18</v>
      </c>
      <c r="H645" s="104">
        <f>L407</f>
        <v>24873.18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52908.87</v>
      </c>
      <c r="H646" s="104">
        <f>L207+L225+L243</f>
        <v>52908.869999999995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55012.42</v>
      </c>
      <c r="H647" s="104">
        <f>(J256+J337)-(J254+J335)</f>
        <v>55012.42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33473.57</v>
      </c>
      <c r="H648" s="104">
        <f>H597</f>
        <v>33473.57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19435.3</v>
      </c>
      <c r="H650" s="104">
        <f>J597</f>
        <v>19435.300000000003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23584.82</v>
      </c>
      <c r="H651" s="104">
        <f>K262+K344</f>
        <v>23584.82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121000</v>
      </c>
      <c r="H653" s="104">
        <f>K264+K345</f>
        <v>121000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15000</v>
      </c>
      <c r="H654" s="104">
        <f>K265+K346</f>
        <v>15000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1292479.99</v>
      </c>
      <c r="G659" s="19">
        <f>(L228+L308+L358)</f>
        <v>0</v>
      </c>
      <c r="H659" s="19">
        <f>(L246+L327+L359)</f>
        <v>536667.75</v>
      </c>
      <c r="I659" s="19">
        <f>SUM(F659:H659)</f>
        <v>1829147.74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14288.109999999999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14288.109999999999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33473.57</v>
      </c>
      <c r="G661" s="19">
        <f>(L225+L305)-(J225+J305)</f>
        <v>0</v>
      </c>
      <c r="H661" s="19">
        <f>(L243+L324)-(J243+J324)</f>
        <v>19435.3</v>
      </c>
      <c r="I661" s="19">
        <f>SUM(F661:H661)</f>
        <v>52908.869999999995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60739.199999999997</v>
      </c>
      <c r="G662" s="199">
        <f>SUM(G574:G586)+SUM(I601:I603)+L611</f>
        <v>0</v>
      </c>
      <c r="H662" s="199">
        <f>SUM(H574:H586)+SUM(J601:J603)+L612</f>
        <v>473299.43000000005</v>
      </c>
      <c r="I662" s="19">
        <f>SUM(F662:H662)</f>
        <v>534038.63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1183979.1099999999</v>
      </c>
      <c r="G663" s="19">
        <f>G659-SUM(G660:G662)</f>
        <v>0</v>
      </c>
      <c r="H663" s="19">
        <f>H659-SUM(H660:H662)</f>
        <v>43933.01999999996</v>
      </c>
      <c r="I663" s="19">
        <f>I659-SUM(I660:I662)</f>
        <v>1227912.1299999999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62.55</v>
      </c>
      <c r="G664" s="248"/>
      <c r="H664" s="248"/>
      <c r="I664" s="19">
        <f>SUM(F664:H664)</f>
        <v>62.55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18928.52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19630.89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>
        <v>-43933.02</v>
      </c>
      <c r="I668" s="19">
        <f>SUM(F668:H668)</f>
        <v>-43933.02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18928.52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18928.52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37" zoomScale="120" zoomScaleNormal="120" workbookViewId="0">
      <selection activeCell="H36" sqref="H36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Piermont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385116.03</v>
      </c>
      <c r="C9" s="229">
        <f>'DOE25'!G196+'DOE25'!G214+'DOE25'!G232+'DOE25'!G275+'DOE25'!G294+'DOE25'!G313</f>
        <v>123560.75</v>
      </c>
    </row>
    <row r="10" spans="1:3" x14ac:dyDescent="0.2">
      <c r="A10" t="s">
        <v>779</v>
      </c>
      <c r="B10" s="240">
        <v>362556.42</v>
      </c>
      <c r="C10" s="240">
        <v>111987.6</v>
      </c>
    </row>
    <row r="11" spans="1:3" x14ac:dyDescent="0.2">
      <c r="A11" t="s">
        <v>780</v>
      </c>
      <c r="B11" s="240">
        <v>19514.41</v>
      </c>
      <c r="C11" s="240">
        <v>11338.35</v>
      </c>
    </row>
    <row r="12" spans="1:3" x14ac:dyDescent="0.2">
      <c r="A12" t="s">
        <v>781</v>
      </c>
      <c r="B12" s="240">
        <v>3045.2</v>
      </c>
      <c r="C12" s="240">
        <v>234.8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385116.02999999997</v>
      </c>
      <c r="C13" s="231">
        <f>SUM(C10:C12)</f>
        <v>123560.75000000001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90959.53</v>
      </c>
      <c r="C18" s="229">
        <f>'DOE25'!G197+'DOE25'!G215+'DOE25'!G233+'DOE25'!G276+'DOE25'!G295+'DOE25'!G314</f>
        <v>41574.639999999999</v>
      </c>
    </row>
    <row r="19" spans="1:3" x14ac:dyDescent="0.2">
      <c r="A19" t="s">
        <v>779</v>
      </c>
      <c r="B19" s="240">
        <v>54263.46</v>
      </c>
      <c r="C19" s="240">
        <v>21074.49</v>
      </c>
    </row>
    <row r="20" spans="1:3" x14ac:dyDescent="0.2">
      <c r="A20" t="s">
        <v>780</v>
      </c>
      <c r="B20" s="240">
        <v>34334.769999999997</v>
      </c>
      <c r="C20" s="240">
        <v>20250.73</v>
      </c>
    </row>
    <row r="21" spans="1:3" x14ac:dyDescent="0.2">
      <c r="A21" t="s">
        <v>781</v>
      </c>
      <c r="B21" s="240">
        <v>2361.3000000000002</v>
      </c>
      <c r="C21" s="240">
        <v>249.42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90959.53</v>
      </c>
      <c r="C22" s="231">
        <f>SUM(C19:C21)</f>
        <v>41574.639999999999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8274.43</v>
      </c>
      <c r="C36" s="235">
        <f>'DOE25'!G199+'DOE25'!G217+'DOE25'!G235+'DOE25'!G278+'DOE25'!G297+'DOE25'!G316</f>
        <v>1305.32</v>
      </c>
    </row>
    <row r="37" spans="1:3" x14ac:dyDescent="0.2">
      <c r="A37" t="s">
        <v>779</v>
      </c>
      <c r="B37" s="240">
        <v>6919.83</v>
      </c>
      <c r="C37" s="240">
        <v>1163.8900000000001</v>
      </c>
    </row>
    <row r="38" spans="1:3" x14ac:dyDescent="0.2">
      <c r="A38" t="s">
        <v>780</v>
      </c>
      <c r="B38" s="240">
        <v>429.6</v>
      </c>
      <c r="C38" s="240">
        <v>70.66</v>
      </c>
    </row>
    <row r="39" spans="1:3" x14ac:dyDescent="0.2">
      <c r="A39" t="s">
        <v>781</v>
      </c>
      <c r="B39" s="240">
        <v>925</v>
      </c>
      <c r="C39" s="240">
        <v>70.77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8274.43</v>
      </c>
      <c r="C40" s="231">
        <f>SUM(C37:C39)</f>
        <v>1305.3200000000002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Piermont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1161571.33</v>
      </c>
      <c r="D5" s="20">
        <f>SUM('DOE25'!L196:L199)+SUM('DOE25'!L214:L217)+SUM('DOE25'!L232:L235)-F5-G5</f>
        <v>1141647.9200000002</v>
      </c>
      <c r="E5" s="243"/>
      <c r="F5" s="255">
        <f>SUM('DOE25'!J196:J199)+SUM('DOE25'!J214:J217)+SUM('DOE25'!J232:J235)</f>
        <v>17846.2</v>
      </c>
      <c r="G5" s="53">
        <f>SUM('DOE25'!K196:K199)+SUM('DOE25'!K214:K217)+SUM('DOE25'!K232:K235)</f>
        <v>2077.21</v>
      </c>
      <c r="H5" s="259"/>
    </row>
    <row r="6" spans="1:9" x14ac:dyDescent="0.2">
      <c r="A6" s="32">
        <v>2100</v>
      </c>
      <c r="B6" t="s">
        <v>801</v>
      </c>
      <c r="C6" s="245">
        <f t="shared" si="0"/>
        <v>60004.62</v>
      </c>
      <c r="D6" s="20">
        <f>'DOE25'!L201+'DOE25'!L219+'DOE25'!L237-F6-G6</f>
        <v>58414.670000000006</v>
      </c>
      <c r="E6" s="243"/>
      <c r="F6" s="255">
        <f>'DOE25'!J201+'DOE25'!J219+'DOE25'!J237</f>
        <v>0</v>
      </c>
      <c r="G6" s="53">
        <f>'DOE25'!K201+'DOE25'!K219+'DOE25'!K237</f>
        <v>1589.95</v>
      </c>
      <c r="H6" s="259"/>
    </row>
    <row r="7" spans="1:9" x14ac:dyDescent="0.2">
      <c r="A7" s="32">
        <v>2200</v>
      </c>
      <c r="B7" t="s">
        <v>834</v>
      </c>
      <c r="C7" s="245">
        <f t="shared" si="0"/>
        <v>85322.85</v>
      </c>
      <c r="D7" s="20">
        <f>'DOE25'!L202+'DOE25'!L220+'DOE25'!L238-F7-G7</f>
        <v>85192.85</v>
      </c>
      <c r="E7" s="243"/>
      <c r="F7" s="255">
        <f>'DOE25'!J202+'DOE25'!J220+'DOE25'!J238</f>
        <v>0</v>
      </c>
      <c r="G7" s="53">
        <f>'DOE25'!K202+'DOE25'!K220+'DOE25'!K238</f>
        <v>130</v>
      </c>
      <c r="H7" s="259"/>
    </row>
    <row r="8" spans="1:9" x14ac:dyDescent="0.2">
      <c r="A8" s="32">
        <v>2300</v>
      </c>
      <c r="B8" t="s">
        <v>802</v>
      </c>
      <c r="C8" s="245">
        <f t="shared" si="0"/>
        <v>66402</v>
      </c>
      <c r="D8" s="243"/>
      <c r="E8" s="20">
        <f>'DOE25'!L203+'DOE25'!L221+'DOE25'!L239-F8-G8-D9-D11</f>
        <v>64132.14</v>
      </c>
      <c r="F8" s="255">
        <f>'DOE25'!J203+'DOE25'!J221+'DOE25'!J239</f>
        <v>0</v>
      </c>
      <c r="G8" s="53">
        <f>'DOE25'!K203+'DOE25'!K221+'DOE25'!K239</f>
        <v>2269.86</v>
      </c>
      <c r="H8" s="259"/>
    </row>
    <row r="9" spans="1:9" x14ac:dyDescent="0.2">
      <c r="A9" s="32">
        <v>2310</v>
      </c>
      <c r="B9" t="s">
        <v>818</v>
      </c>
      <c r="C9" s="245">
        <f t="shared" si="0"/>
        <v>13930.5</v>
      </c>
      <c r="D9" s="244">
        <f>2653+130.35+144.43+48.28+2269.86+495+37.89+600+45.9+90+85.7+162.5+12.44+85+26.15+6750+294</f>
        <v>13930.5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6750</v>
      </c>
      <c r="D10" s="243"/>
      <c r="E10" s="244">
        <v>6750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20412</v>
      </c>
      <c r="D11" s="244">
        <v>20412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105845.49</v>
      </c>
      <c r="D12" s="20">
        <f>'DOE25'!L204+'DOE25'!L222+'DOE25'!L240-F12-G12</f>
        <v>104274.49</v>
      </c>
      <c r="E12" s="243"/>
      <c r="F12" s="255">
        <f>'DOE25'!J204+'DOE25'!J222+'DOE25'!J240</f>
        <v>840</v>
      </c>
      <c r="G12" s="53">
        <f>'DOE25'!K204+'DOE25'!K222+'DOE25'!K240</f>
        <v>731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168672.42</v>
      </c>
      <c r="D14" s="20">
        <f>'DOE25'!L206+'DOE25'!L224+'DOE25'!L242-F14-G14</f>
        <v>132246.20000000001</v>
      </c>
      <c r="E14" s="243"/>
      <c r="F14" s="255">
        <f>'DOE25'!J206+'DOE25'!J224+'DOE25'!J242</f>
        <v>36326.22</v>
      </c>
      <c r="G14" s="53">
        <f>'DOE25'!K206+'DOE25'!K224+'DOE25'!K242</f>
        <v>100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52908.869999999995</v>
      </c>
      <c r="D15" s="20">
        <f>'DOE25'!L207+'DOE25'!L225+'DOE25'!L243-F15-G15</f>
        <v>52908.869999999995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1717.89</v>
      </c>
      <c r="D16" s="243"/>
      <c r="E16" s="20">
        <f>'DOE25'!L208+'DOE25'!L226+'DOE25'!L244-F16-G16</f>
        <v>1717.89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'DOE25'!L259+'DOE25'!L260+'DOE25'!L340+'DOE25'!L341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52556.18</v>
      </c>
      <c r="D29" s="20">
        <f>'DOE25'!L357+'DOE25'!L358+'DOE25'!L359-'DOE25'!I366-F29-G29</f>
        <v>52556.18</v>
      </c>
      <c r="E29" s="243"/>
      <c r="F29" s="255">
        <f>'DOE25'!J357+'DOE25'!J358+'DOE25'!J359</f>
        <v>0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39803.590000000004</v>
      </c>
      <c r="D31" s="20">
        <f>'DOE25'!L289+'DOE25'!L308+'DOE25'!L327+'DOE25'!L332+'DOE25'!L333+'DOE25'!L334-F31-G31</f>
        <v>39342.730000000003</v>
      </c>
      <c r="E31" s="243"/>
      <c r="F31" s="255">
        <f>'DOE25'!J289+'DOE25'!J308+'DOE25'!J327+'DOE25'!J332+'DOE25'!J333+'DOE25'!J334</f>
        <v>0</v>
      </c>
      <c r="G31" s="53">
        <f>'DOE25'!K289+'DOE25'!K308+'DOE25'!K327+'DOE25'!K332+'DOE25'!K333+'DOE25'!K334</f>
        <v>460.86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1700926.41</v>
      </c>
      <c r="E33" s="246">
        <f>SUM(E5:E31)</f>
        <v>72600.03</v>
      </c>
      <c r="F33" s="246">
        <f>SUM(F5:F31)</f>
        <v>55012.42</v>
      </c>
      <c r="G33" s="246">
        <f>SUM(G5:G31)</f>
        <v>7358.88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72600.03</v>
      </c>
      <c r="E35" s="249"/>
    </row>
    <row r="36" spans="2:8" ht="12" thickTop="1" x14ac:dyDescent="0.2">
      <c r="B36" t="s">
        <v>815</v>
      </c>
      <c r="D36" s="20">
        <f>D33</f>
        <v>1700926.41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Piermont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351788.16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201419.57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1873.36</v>
      </c>
      <c r="E11" s="95">
        <f>'DOE25'!H12</f>
        <v>0</v>
      </c>
      <c r="F11" s="95">
        <f>'DOE25'!I12</f>
        <v>183868.5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15587.5</v>
      </c>
      <c r="D12" s="95">
        <f>'DOE25'!G13</f>
        <v>2348.66</v>
      </c>
      <c r="E12" s="95">
        <f>'DOE25'!H13</f>
        <v>7952.97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765.13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368140.79</v>
      </c>
      <c r="D18" s="41">
        <f>SUM(D8:D17)</f>
        <v>4222.0199999999995</v>
      </c>
      <c r="E18" s="41">
        <f>SUM(E8:E17)</f>
        <v>7952.97</v>
      </c>
      <c r="F18" s="41">
        <f>SUM(F8:F17)</f>
        <v>183868.5</v>
      </c>
      <c r="G18" s="41">
        <f>SUM(G8:G17)</f>
        <v>201419.57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177788.89</v>
      </c>
      <c r="D21" s="95">
        <f>'DOE25'!G22</f>
        <v>0</v>
      </c>
      <c r="E21" s="95">
        <f>'DOE25'!H22</f>
        <v>7952.97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38067.51</v>
      </c>
      <c r="D23" s="95">
        <f>'DOE25'!G24</f>
        <v>4222.0200000000004</v>
      </c>
      <c r="E23" s="95">
        <f>'DOE25'!H24</f>
        <v>0</v>
      </c>
      <c r="F23" s="95">
        <f>'DOE25'!I24</f>
        <v>29461.48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1200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223.55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217279.95</v>
      </c>
      <c r="D31" s="41">
        <f>SUM(D21:D30)</f>
        <v>4222.0200000000004</v>
      </c>
      <c r="E31" s="41">
        <f>SUM(E21:E30)</f>
        <v>7952.97</v>
      </c>
      <c r="F31" s="41">
        <f>SUM(F21:F30)</f>
        <v>29461.48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25000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154407.01999999999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201419.57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14698.68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111162.15999999999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150860.84</v>
      </c>
      <c r="D49" s="41">
        <f>SUM(D34:D48)</f>
        <v>0</v>
      </c>
      <c r="E49" s="41">
        <f>SUM(E34:E48)</f>
        <v>0</v>
      </c>
      <c r="F49" s="41">
        <f>SUM(F34:F48)</f>
        <v>154407.01999999999</v>
      </c>
      <c r="G49" s="41">
        <f>SUM(G34:G48)</f>
        <v>201419.57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368140.79000000004</v>
      </c>
      <c r="D50" s="41">
        <f>D49+D31</f>
        <v>4222.0200000000004</v>
      </c>
      <c r="E50" s="41">
        <f>E49+E31</f>
        <v>7952.97</v>
      </c>
      <c r="F50" s="41">
        <f>F49+F31</f>
        <v>183868.5</v>
      </c>
      <c r="G50" s="41">
        <f>G49+G31</f>
        <v>201419.57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1151406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16720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233.25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9873.18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14242.21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2425.91</v>
      </c>
      <c r="D60" s="95">
        <f>SUM('DOE25'!G97:G109)</f>
        <v>45.9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19379.16</v>
      </c>
      <c r="D61" s="130">
        <f>SUM(D56:D60)</f>
        <v>14288.109999999999</v>
      </c>
      <c r="E61" s="130">
        <f>SUM(E56:E60)</f>
        <v>0</v>
      </c>
      <c r="F61" s="130">
        <f>SUM(F56:F60)</f>
        <v>0</v>
      </c>
      <c r="G61" s="130">
        <f>SUM(G56:G60)</f>
        <v>9873.18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1170785.1599999999</v>
      </c>
      <c r="D62" s="22">
        <f>D55+D61</f>
        <v>14288.109999999999</v>
      </c>
      <c r="E62" s="22">
        <f>E55+E61</f>
        <v>0</v>
      </c>
      <c r="F62" s="22">
        <f>F55+F61</f>
        <v>0</v>
      </c>
      <c r="G62" s="22">
        <f>G55+G61</f>
        <v>9873.18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389186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221044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610230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1237.0999999999999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46233.88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42528.43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331.15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89999.41</v>
      </c>
      <c r="D77" s="130">
        <f>SUM(D71:D76)</f>
        <v>331.15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700229.41</v>
      </c>
      <c r="D80" s="130">
        <f>SUM(D78:D79)+D77+D69</f>
        <v>331.15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12097.85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17317.32</v>
      </c>
      <c r="D87" s="95">
        <f>SUM('DOE25'!G152:G160)</f>
        <v>13733.140000000001</v>
      </c>
      <c r="E87" s="95">
        <f>SUM('DOE25'!H152:H160)</f>
        <v>27705.74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1710.4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19027.72</v>
      </c>
      <c r="D90" s="131">
        <f>SUM(D84:D89)</f>
        <v>13733.140000000001</v>
      </c>
      <c r="E90" s="131">
        <f>SUM(E84:E89)</f>
        <v>39803.590000000004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23584.82</v>
      </c>
      <c r="E95" s="95">
        <f>'DOE25'!H178</f>
        <v>0</v>
      </c>
      <c r="F95" s="95">
        <f>'DOE25'!I178</f>
        <v>121000</v>
      </c>
      <c r="G95" s="95">
        <f>'DOE25'!J178</f>
        <v>15000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50538.52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23584.82</v>
      </c>
      <c r="E102" s="86">
        <f>SUM(E92:E101)</f>
        <v>0</v>
      </c>
      <c r="F102" s="86">
        <f>SUM(F92:F101)</f>
        <v>171538.52</v>
      </c>
      <c r="G102" s="86">
        <f>SUM(G92:G101)</f>
        <v>15000</v>
      </c>
    </row>
    <row r="103" spans="1:7" ht="12.75" thickTop="1" thickBot="1" x14ac:dyDescent="0.25">
      <c r="A103" s="33" t="s">
        <v>765</v>
      </c>
      <c r="C103" s="86">
        <f>C62+C80+C90+C102</f>
        <v>1890042.2899999998</v>
      </c>
      <c r="D103" s="86">
        <f>D62+D80+D90+D102</f>
        <v>51937.22</v>
      </c>
      <c r="E103" s="86">
        <f>E62+E80+E90+E102</f>
        <v>39803.590000000004</v>
      </c>
      <c r="F103" s="86">
        <f>F62+F80+F90+F102</f>
        <v>171538.52</v>
      </c>
      <c r="G103" s="86">
        <f>G62+G80+G102</f>
        <v>24873.18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902031.43</v>
      </c>
      <c r="D108" s="24" t="s">
        <v>289</v>
      </c>
      <c r="E108" s="95">
        <f>('DOE25'!L275)+('DOE25'!L294)+('DOE25'!L313)</f>
        <v>0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185099.66</v>
      </c>
      <c r="D109" s="24" t="s">
        <v>289</v>
      </c>
      <c r="E109" s="95">
        <f>('DOE25'!L276)+('DOE25'!L295)+('DOE25'!L314)</f>
        <v>37083.47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58680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15760.239999999998</v>
      </c>
      <c r="D111" s="24" t="s">
        <v>289</v>
      </c>
      <c r="E111" s="95">
        <f>+('DOE25'!L278)+('DOE25'!L297)+('DOE25'!L316)</f>
        <v>1784.26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1161571.33</v>
      </c>
      <c r="D114" s="86">
        <f>SUM(D108:D113)</f>
        <v>0</v>
      </c>
      <c r="E114" s="86">
        <f>SUM(E108:E113)</f>
        <v>38867.730000000003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60004.62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85322.85</v>
      </c>
      <c r="D118" s="24" t="s">
        <v>289</v>
      </c>
      <c r="E118" s="95">
        <f>+('DOE25'!L281)+('DOE25'!L300)+('DOE25'!L319)</f>
        <v>475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100744.5</v>
      </c>
      <c r="D119" s="24" t="s">
        <v>289</v>
      </c>
      <c r="E119" s="95">
        <f>+('DOE25'!L282)+('DOE25'!L301)+('DOE25'!L320)</f>
        <v>460.86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105845.49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168672.42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52908.869999999995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1717.89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52556.18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575216.64000000001</v>
      </c>
      <c r="D127" s="86">
        <f>SUM(D117:D126)</f>
        <v>52556.18</v>
      </c>
      <c r="E127" s="86">
        <f>SUM(E117:E126)</f>
        <v>935.86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17131.5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80000</v>
      </c>
    </row>
    <row r="134" spans="1:7" x14ac:dyDescent="0.2">
      <c r="A134" t="s">
        <v>233</v>
      </c>
      <c r="B134" s="32" t="s">
        <v>234</v>
      </c>
      <c r="C134" s="95">
        <f>'DOE25'!L262</f>
        <v>23584.82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121000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20.28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24852.9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-9873.18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159584.82</v>
      </c>
      <c r="D143" s="141">
        <f>SUM(D129:D142)</f>
        <v>0</v>
      </c>
      <c r="E143" s="141">
        <f>SUM(E129:E142)</f>
        <v>0</v>
      </c>
      <c r="F143" s="141">
        <f>SUM(F129:F142)</f>
        <v>17131.5</v>
      </c>
      <c r="G143" s="141">
        <f>SUM(G129:G142)</f>
        <v>80000</v>
      </c>
    </row>
    <row r="144" spans="1:7" ht="12.75" thickTop="1" thickBot="1" x14ac:dyDescent="0.25">
      <c r="A144" s="33" t="s">
        <v>244</v>
      </c>
      <c r="C144" s="86">
        <f>(C114+C127+C143)</f>
        <v>1896372.7900000003</v>
      </c>
      <c r="D144" s="86">
        <f>(D114+D127+D143)</f>
        <v>52556.18</v>
      </c>
      <c r="E144" s="86">
        <f>(E114+E127+E143)</f>
        <v>39803.590000000004</v>
      </c>
      <c r="F144" s="86">
        <f>(F114+F127+F143)</f>
        <v>17131.5</v>
      </c>
      <c r="G144" s="86">
        <f>(G114+G127+G143)</f>
        <v>80000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Piermont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18929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18929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902031</v>
      </c>
      <c r="D10" s="182">
        <f>ROUND((C10/$C$28)*100,1)</f>
        <v>49.7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222183</v>
      </c>
      <c r="D11" s="182">
        <f>ROUND((C11/$C$28)*100,1)</f>
        <v>12.2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58680</v>
      </c>
      <c r="D12" s="182">
        <f>ROUND((C12/$C$28)*100,1)</f>
        <v>3.2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17545</v>
      </c>
      <c r="D13" s="182">
        <f>ROUND((C13/$C$28)*100,1)</f>
        <v>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60005</v>
      </c>
      <c r="D15" s="182">
        <f t="shared" ref="D15:D27" si="0">ROUND((C15/$C$28)*100,1)</f>
        <v>3.3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85798</v>
      </c>
      <c r="D16" s="182">
        <f t="shared" si="0"/>
        <v>4.7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102923</v>
      </c>
      <c r="D17" s="182">
        <f t="shared" si="0"/>
        <v>5.7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105845</v>
      </c>
      <c r="D18" s="182">
        <f t="shared" si="0"/>
        <v>5.8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168672</v>
      </c>
      <c r="D20" s="182">
        <f t="shared" si="0"/>
        <v>9.3000000000000007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52909</v>
      </c>
      <c r="D21" s="182">
        <f t="shared" si="0"/>
        <v>2.9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38267.89</v>
      </c>
      <c r="D27" s="182">
        <f t="shared" si="0"/>
        <v>2.1</v>
      </c>
    </row>
    <row r="28" spans="1:4" x14ac:dyDescent="0.2">
      <c r="B28" s="187" t="s">
        <v>723</v>
      </c>
      <c r="C28" s="180">
        <f>SUM(C10:C27)</f>
        <v>1814858.89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17132</v>
      </c>
    </row>
    <row r="30" spans="1:4" x14ac:dyDescent="0.2">
      <c r="B30" s="187" t="s">
        <v>729</v>
      </c>
      <c r="C30" s="180">
        <f>SUM(C28:C29)</f>
        <v>1831990.89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1151406</v>
      </c>
      <c r="D35" s="182">
        <f t="shared" ref="D35:D40" si="1">ROUND((C35/$C$41)*100,1)</f>
        <v>58.9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29252.339999999851</v>
      </c>
      <c r="D36" s="182">
        <f t="shared" si="1"/>
        <v>1.5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610230</v>
      </c>
      <c r="D37" s="182">
        <f t="shared" si="1"/>
        <v>31.2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90331</v>
      </c>
      <c r="D38" s="182">
        <f t="shared" si="1"/>
        <v>4.5999999999999996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72564</v>
      </c>
      <c r="D39" s="182">
        <f t="shared" si="1"/>
        <v>3.7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1953783.3399999999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pane="bottomLeft" activeCell="C5" sqref="C5:M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Piermont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>
        <v>15</v>
      </c>
      <c r="B4" s="219">
        <v>6</v>
      </c>
      <c r="C4" s="285" t="s">
        <v>909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2013-10-04T18:00:10Z</cp:lastPrinted>
  <dcterms:created xsi:type="dcterms:W3CDTF">1997-12-04T19:04:30Z</dcterms:created>
  <dcterms:modified xsi:type="dcterms:W3CDTF">2013-10-07T14:19:57Z</dcterms:modified>
</cp:coreProperties>
</file>