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232" i="1" l="1"/>
  <c r="G196" i="1"/>
  <c r="F29" i="1"/>
  <c r="B19" i="12"/>
  <c r="B20" i="12"/>
  <c r="B11" i="12"/>
  <c r="B10" i="12"/>
  <c r="H593" i="1"/>
  <c r="H525" i="1"/>
  <c r="I525" i="1"/>
  <c r="G520" i="1"/>
  <c r="G525" i="1"/>
  <c r="F525" i="1"/>
  <c r="F520" i="1"/>
  <c r="F501" i="1"/>
  <c r="F498" i="1"/>
  <c r="H399" i="1"/>
  <c r="H397" i="1"/>
  <c r="H395" i="1"/>
  <c r="G47" i="1"/>
  <c r="G522" i="1" l="1"/>
  <c r="F522" i="1"/>
  <c r="F281" i="1"/>
  <c r="H471" i="1"/>
  <c r="H467" i="1"/>
  <c r="K284" i="1"/>
  <c r="J276" i="1"/>
  <c r="I275" i="1"/>
  <c r="I276" i="1"/>
  <c r="H281" i="1"/>
  <c r="G281" i="1"/>
  <c r="G276" i="1"/>
  <c r="F276" i="1"/>
  <c r="H357" i="1"/>
  <c r="H144" i="1"/>
  <c r="H109" i="1"/>
  <c r="H154" i="1"/>
  <c r="H153" i="1"/>
  <c r="H13" i="1"/>
  <c r="F237" i="1"/>
  <c r="I243" i="1"/>
  <c r="K238" i="1"/>
  <c r="K237" i="1"/>
  <c r="K235" i="1"/>
  <c r="H207" i="1"/>
  <c r="H243" i="1"/>
  <c r="I207" i="1"/>
  <c r="I237" i="1"/>
  <c r="I235" i="1"/>
  <c r="H235" i="1"/>
  <c r="H239" i="1"/>
  <c r="H237" i="1"/>
  <c r="G243" i="1"/>
  <c r="G237" i="1"/>
  <c r="G235" i="1"/>
  <c r="F243" i="1"/>
  <c r="F238" i="1"/>
  <c r="F235" i="1"/>
  <c r="K202" i="1"/>
  <c r="K201" i="1"/>
  <c r="J201" i="1"/>
  <c r="I201" i="1"/>
  <c r="H204" i="1"/>
  <c r="H203" i="1"/>
  <c r="H202" i="1"/>
  <c r="H201" i="1"/>
  <c r="G207" i="1"/>
  <c r="G204" i="1"/>
  <c r="G203" i="1"/>
  <c r="G202" i="1"/>
  <c r="G201" i="1"/>
  <c r="G199" i="1"/>
  <c r="G197" i="1"/>
  <c r="F207" i="1"/>
  <c r="F203" i="1"/>
  <c r="F202" i="1"/>
  <c r="F201" i="1"/>
  <c r="F199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I445" i="1"/>
  <c r="G641" i="1" s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40" i="1"/>
  <c r="H640" i="1"/>
  <c r="H641" i="1"/>
  <c r="G642" i="1"/>
  <c r="H642" i="1"/>
  <c r="G643" i="1"/>
  <c r="H643" i="1"/>
  <c r="J643" i="1" s="1"/>
  <c r="G644" i="1"/>
  <c r="H644" i="1"/>
  <c r="H646" i="1"/>
  <c r="G648" i="1"/>
  <c r="G649" i="1"/>
  <c r="G650" i="1"/>
  <c r="G651" i="1"/>
  <c r="H651" i="1"/>
  <c r="G652" i="1"/>
  <c r="H652" i="1"/>
  <c r="G653" i="1"/>
  <c r="H653" i="1"/>
  <c r="H654" i="1"/>
  <c r="F191" i="1"/>
  <c r="L255" i="1"/>
  <c r="L256" i="1" s="1"/>
  <c r="L270" i="1" s="1"/>
  <c r="G631" i="1" s="1"/>
  <c r="K256" i="1"/>
  <c r="K270" i="1" s="1"/>
  <c r="I256" i="1"/>
  <c r="I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F663" i="1" s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J616" i="1"/>
  <c r="E77" i="2"/>
  <c r="E80" i="2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E50" i="2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H256" i="1"/>
  <c r="H270" i="1" s="1"/>
  <c r="I551" i="1"/>
  <c r="K548" i="1"/>
  <c r="K549" i="1"/>
  <c r="G22" i="2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C25" i="13" s="1"/>
  <c r="J650" i="1"/>
  <c r="J633" i="1"/>
  <c r="H570" i="1"/>
  <c r="L559" i="1"/>
  <c r="J544" i="1"/>
  <c r="H337" i="1"/>
  <c r="H351" i="1" s="1"/>
  <c r="F337" i="1"/>
  <c r="F351" i="1" s="1"/>
  <c r="G191" i="1"/>
  <c r="H191" i="1"/>
  <c r="E127" i="2"/>
  <c r="F551" i="1"/>
  <c r="C35" i="10"/>
  <c r="L308" i="1"/>
  <c r="D5" i="13"/>
  <c r="C5" i="13" s="1"/>
  <c r="E16" i="13"/>
  <c r="E33" i="13" s="1"/>
  <c r="D35" i="13" s="1"/>
  <c r="C49" i="2"/>
  <c r="C50" i="2" s="1"/>
  <c r="J654" i="1"/>
  <c r="J644" i="1"/>
  <c r="L569" i="1"/>
  <c r="I570" i="1"/>
  <c r="I544" i="1"/>
  <c r="J635" i="1"/>
  <c r="G36" i="2"/>
  <c r="L564" i="1"/>
  <c r="G544" i="1"/>
  <c r="L544" i="1"/>
  <c r="K550" i="1"/>
  <c r="K551" i="1" s="1"/>
  <c r="C22" i="13"/>
  <c r="C137" i="2"/>
  <c r="C16" i="13"/>
  <c r="H33" i="13"/>
  <c r="H544" i="1" l="1"/>
  <c r="L336" i="1"/>
  <c r="G256" i="1"/>
  <c r="G270" i="1" s="1"/>
  <c r="C23" i="10"/>
  <c r="J648" i="1"/>
  <c r="J639" i="1"/>
  <c r="E144" i="2"/>
  <c r="F671" i="1"/>
  <c r="C4" i="10" s="1"/>
  <c r="F666" i="1"/>
  <c r="L337" i="1"/>
  <c r="L351" i="1" s="1"/>
  <c r="G632" i="1" s="1"/>
  <c r="J632" i="1" s="1"/>
  <c r="C24" i="10"/>
  <c r="G659" i="1"/>
  <c r="G663" i="1" s="1"/>
  <c r="G31" i="13"/>
  <c r="G33" i="13" s="1"/>
  <c r="I337" i="1"/>
  <c r="I351" i="1" s="1"/>
  <c r="J649" i="1"/>
  <c r="L406" i="1"/>
  <c r="C139" i="2" s="1"/>
  <c r="C140" i="2" s="1"/>
  <c r="C143" i="2" s="1"/>
  <c r="C144" i="2" s="1"/>
  <c r="L570" i="1"/>
  <c r="J631" i="1"/>
  <c r="I191" i="1"/>
  <c r="E90" i="2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F33" i="13" s="1"/>
  <c r="I659" i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666" i="1"/>
  <c r="G671" i="1"/>
  <c r="C5" i="10" s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C28" i="10" s="1"/>
  <c r="G634" i="1"/>
  <c r="J634" i="1" s="1"/>
  <c r="L407" i="1" l="1"/>
  <c r="D31" i="13"/>
  <c r="C31" i="13" s="1"/>
  <c r="G630" i="1"/>
  <c r="J630" i="1" s="1"/>
  <c r="I663" i="1"/>
  <c r="I671" i="1" s="1"/>
  <c r="C7" i="10" s="1"/>
  <c r="G192" i="1"/>
  <c r="G627" i="1" s="1"/>
  <c r="J627" i="1" s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G636" i="1" l="1"/>
  <c r="J636" i="1" s="1"/>
  <c r="H645" i="1"/>
  <c r="J645" i="1" s="1"/>
  <c r="D33" i="13"/>
  <c r="D36" i="13" s="1"/>
  <c r="I666" i="1"/>
  <c r="H655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<sst xmlns="http://schemas.openxmlformats.org/spreadsheetml/2006/main" count="3949" uniqueCount="912">
  <si>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</si>
  <si>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</si>
  <si>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</si>
  <si>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</si>
  <si>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</si>
  <si>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</si>
  <si>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</si>
  <si>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</si>
  <si>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</si>
  <si>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</si>
  <si>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</si>
  <si>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</si>
  <si>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</si>
  <si>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</si>
  <si>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</si>
  <si>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</si>
  <si>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</si>
  <si>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</si>
  <si>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</si>
  <si>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</si>
  <si>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</si>
  <si>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</si>
  <si>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</si>
  <si>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</si>
  <si>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</si>
  <si>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</si>
  <si>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</si>
  <si>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</si>
  <si>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</si>
  <si>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</si>
  <si>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</si>
  <si>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</si>
  <si>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</si>
  <si>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</si>
  <si>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</si>
  <si>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</si>
  <si>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</si>
  <si>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</si>
  <si>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</si>
  <si>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</si>
  <si>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</si>
  <si>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</si>
  <si>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</si>
  <si>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</si>
  <si>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</si>
  <si>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</si>
  <si>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</si>
  <si>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</si>
  <si>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</si>
  <si>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</si>
  <si>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</si>
  <si>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</si>
  <si>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</si>
  <si>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</si>
  <si>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</si>
  <si>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</si>
  <si>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</si>
  <si>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</si>
  <si>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</si>
  <si>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</si>
  <si>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</si>
  <si>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</si>
  <si>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</si>
  <si>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</si>
  <si>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</si>
  <si>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</si>
  <si>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</si>
  <si>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</si>
  <si>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</si>
  <si>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</si>
  <si>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</si>
  <si>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</si>
  <si>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</si>
  <si>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</si>
  <si>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</si>
  <si>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</si>
  <si>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</si>
  <si>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</si>
  <si>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</si>
  <si>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</si>
  <si>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</si>
  <si>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</si>
  <si>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</si>
  <si>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</si>
  <si>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</si>
  <si>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</si>
  <si>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</si>
  <si>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</si>
  <si>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</si>
  <si>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</si>
  <si>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</si>
  <si>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</si>
  <si>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</si>
  <si>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</si>
  <si>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</si>
  <si>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</si>
  <si>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</si>
  <si>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</si>
  <si>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</si>
  <si>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</si>
  <si>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</si>
  <si>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</si>
  <si>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</si>
  <si>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</si>
  <si>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</si>
  <si>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</si>
  <si>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</si>
  <si>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</si>
  <si>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</si>
  <si>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</si>
  <si>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</si>
  <si>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</si>
  <si>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</si>
  <si>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</si>
  <si>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</si>
  <si>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</si>
  <si>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</si>
  <si>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</si>
  <si>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</si>
  <si>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</si>
  <si>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</si>
  <si>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</si>
  <si>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</si>
  <si>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</si>
  <si>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</si>
  <si>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</si>
  <si>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</si>
  <si>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</si>
  <si>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</si>
  <si>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</si>
  <si>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</si>
  <si>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</si>
  <si>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</si>
  <si>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</si>
  <si>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</si>
  <si>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</si>
  <si>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</si>
  <si>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</si>
  <si>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</si>
  <si>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</si>
  <si>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</si>
  <si>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</si>
  <si>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</si>
  <si>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</si>
  <si>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</si>
  <si>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</si>
  <si>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</si>
  <si>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</si>
  <si>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</si>
  <si>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</si>
  <si>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</si>
  <si>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</si>
  <si>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</si>
  <si>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</si>
  <si>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</si>
  <si>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</si>
  <si>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</si>
  <si>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</si>
  <si>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</si>
  <si>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</si>
  <si>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</si>
  <si>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</si>
  <si>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</si>
  <si>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</si>
  <si>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</si>
  <si>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</si>
  <si>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</si>
  <si>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</si>
  <si>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</si>
  <si>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</si>
  <si>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</si>
  <si>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</si>
  <si>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</si>
  <si>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</si>
  <si>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</si>
  <si>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</si>
  <si>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</si>
  <si>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</si>
  <si>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</si>
  <si>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</si>
  <si>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</si>
  <si>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</si>
  <si>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</si>
  <si>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</si>
  <si>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</si>
  <si>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</si>
  <si>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</si>
  <si>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</si>
  <si>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</si>
  <si>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</si>
  <si>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</si>
  <si>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</si>
  <si>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</si>
  <si>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</si>
  <si>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</si>
  <si>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</si>
  <si>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</si>
  <si>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</si>
  <si>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</si>
  <si>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</si>
  <si>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</si>
  <si>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</si>
  <si>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</si>
  <si>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</si>
  <si>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</si>
  <si>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</si>
  <si>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</si>
  <si>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</si>
  <si>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</si>
  <si>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</si>
  <si>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</si>
  <si>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</si>
  <si>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</si>
  <si>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</si>
  <si>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</si>
  <si>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</si>
  <si>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</si>
  <si>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</si>
  <si>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</si>
  <si>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</si>
  <si>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</si>
  <si>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</si>
  <si>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</si>
  <si>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</si>
  <si>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</si>
  <si>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</si>
  <si>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</si>
  <si>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</si>
  <si>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</si>
  <si>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</si>
  <si>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</si>
  <si>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</si>
  <si>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</si>
  <si>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</si>
  <si>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</si>
  <si>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</si>
  <si>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</si>
  <si>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</si>
  <si>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</si>
  <si>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</si>
  <si>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</si>
  <si>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</si>
  <si>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</si>
  <si>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</si>
  <si>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</si>
  <si>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</si>
  <si>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</si>
  <si>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</si>
  <si>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</si>
  <si>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</si>
  <si>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</si>
  <si>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</si>
  <si>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</si>
  <si>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</si>
  <si>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</si>
  <si>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</si>
  <si>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</si>
  <si>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</si>
  <si>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</si>
  <si>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</si>
  <si>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</si>
  <si>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</si>
  <si>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</si>
  <si>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</si>
  <si>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</si>
  <si>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</si>
  <si>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</si>
  <si>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</si>
  <si>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</si>
  <si>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</si>
  <si>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</si>
  <si>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</si>
  <si>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</si>
  <si>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</si>
  <si>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</si>
  <si>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</si>
  <si>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</si>
  <si>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</si>
  <si>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</si>
  <si>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</si>
  <si>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</si>
  <si>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</si>
  <si>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</si>
  <si>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</si>
  <si>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</si>
  <si>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</si>
  <si>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</si>
  <si>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</si>
  <si>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</si>
  <si>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</si>
  <si>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</si>
  <si>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</si>
  <si>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</si>
  <si>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</si>
  <si>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</si>
  <si>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</si>
  <si>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</si>
  <si>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</si>
  <si>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</si>
  <si>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</si>
  <si>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</si>
  <si>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</si>
  <si>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</si>
  <si>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</si>
  <si>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</si>
  <si>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</si>
  <si>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</si>
  <si>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</si>
  <si>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</si>
  <si>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</si>
  <si>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</si>
  <si>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</si>
  <si>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</si>
  <si>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</si>
  <si>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</si>
  <si>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</si>
  <si>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</si>
  <si>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</si>
  <si>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</si>
  <si>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</si>
  <si>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</si>
  <si>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</si>
  <si>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</si>
  <si>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</si>
  <si>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</si>
  <si>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</si>
  <si>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</si>
  <si>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</si>
  <si>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</si>
  <si>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</si>
  <si>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</si>
  <si>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</si>
  <si>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</si>
  <si>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</si>
  <si>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</si>
  <si>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</si>
  <si>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</si>
  <si>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</si>
  <si>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</si>
  <si>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</si>
  <si>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</si>
  <si>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</si>
  <si>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</si>
  <si>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</si>
  <si>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</si>
  <si>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</si>
  <si>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</si>
  <si>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</si>
  <si>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</si>
  <si>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</si>
  <si>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</si>
  <si>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</si>
  <si>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</si>
  <si>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</si>
  <si>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</si>
  <si>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</si>
  <si>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</si>
  <si>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</si>
  <si>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</si>
  <si>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</si>
  <si>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</si>
  <si>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</si>
  <si>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</si>
  <si>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</si>
  <si>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</si>
  <si>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</si>
  <si>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</si>
  <si>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</si>
  <si>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</si>
  <si>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</si>
  <si>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</si>
  <si>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</si>
  <si>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</si>
  <si>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</si>
  <si>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</si>
  <si>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</si>
  <si>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</si>
  <si>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</si>
  <si>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</si>
  <si>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</si>
  <si>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</si>
  <si>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</si>
  <si>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</si>
  <si>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</si>
  <si>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</si>
  <si>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</si>
  <si>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</si>
  <si>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</si>
  <si>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</si>
  <si>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</si>
  <si>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</si>
  <si>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</si>
  <si>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</si>
  <si>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</si>
  <si>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</si>
  <si>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</si>
  <si>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</si>
  <si>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</si>
  <si>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</si>
  <si>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</si>
  <si>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</si>
  <si>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</si>
  <si>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</si>
  <si>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</si>
  <si>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</si>
  <si>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</si>
  <si>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</si>
  <si>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</si>
  <si>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</si>
  <si>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</si>
  <si>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</si>
  <si>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</si>
  <si>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</si>
  <si>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</si>
  <si>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</si>
  <si>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</si>
  <si>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</si>
  <si>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</si>
  <si>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</si>
  <si>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</si>
  <si>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</si>
  <si>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</si>
  <si>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</si>
  <si>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</si>
  <si>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</si>
  <si>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</si>
  <si>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</si>
  <si>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</si>
  <si>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</si>
  <si>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</si>
  <si>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</si>
  <si>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</si>
  <si>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</si>
  <si>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</si>
  <si>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</si>
  <si>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</si>
  <si>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</si>
  <si>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</si>
  <si>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</si>
  <si>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</si>
  <si>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</si>
  <si>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</si>
  <si>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</si>
  <si>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</si>
  <si>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</si>
  <si>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</si>
  <si>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</si>
  <si>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</si>
  <si>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</si>
  <si>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</si>
  <si>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</si>
  <si>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</si>
  <si>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</si>
  <si>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</si>
  <si>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</si>
  <si>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</si>
  <si>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</si>
  <si>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</si>
  <si>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</si>
  <si>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</si>
  <si>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</si>
  <si>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</si>
  <si>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</si>
  <si>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</si>
  <si>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</si>
  <si>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</si>
  <si>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</si>
  <si>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</si>
  <si>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</si>
  <si>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</si>
  <si>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</si>
  <si>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</si>
  <si>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</si>
  <si>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</si>
  <si>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</si>
  <si>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</si>
  <si>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</si>
  <si>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</si>
  <si>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</si>
  <si>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</si>
  <si>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</si>
  <si>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</si>
  <si>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</si>
  <si>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</si>
  <si>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</si>
  <si>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</si>
  <si>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</si>
  <si>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</si>
  <si>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</si>
  <si>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</si>
  <si>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</si>
  <si>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</si>
  <si>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</si>
  <si>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</si>
  <si>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</si>
  <si>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</si>
  <si>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</si>
  <si>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</si>
  <si>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</si>
  <si>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</si>
  <si>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</si>
  <si>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</si>
  <si>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</si>
  <si>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</si>
  <si>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</si>
  <si>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</si>
  <si>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</si>
  <si>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</si>
  <si>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</si>
  <si>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</si>
  <si>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</si>
  <si>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</si>
  <si>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</si>
  <si>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</si>
  <si>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</si>
  <si>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</si>
  <si>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</si>
  <si>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</si>
  <si>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</si>
  <si>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</si>
  <si>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</si>
  <si>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</si>
  <si>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</si>
  <si>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</si>
  <si>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</si>
  <si>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</si>
  <si>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</si>
  <si>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</si>
  <si>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</si>
  <si>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</si>
  <si>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</si>
  <si>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</si>
  <si>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</si>
  <si>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</si>
  <si>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</si>
  <si>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</si>
  <si>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</si>
  <si>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</si>
  <si>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</si>
  <si>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</si>
  <si>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</si>
  <si>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</si>
  <si>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</si>
  <si>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</si>
  <si>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</si>
  <si>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</si>
  <si>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</si>
  <si>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</si>
  <si>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</si>
  <si>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</si>
  <si>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</si>
  <si>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</si>
  <si>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</si>
  <si>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</si>
  <si>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</si>
  <si>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</si>
  <si>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</si>
  <si>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</si>
  <si>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</si>
  <si>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</si>
  <si>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</si>
  <si>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</si>
  <si>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</si>
  <si>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</si>
  <si>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</si>
  <si>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</si>
  <si>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</si>
  <si>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</si>
  <si>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</si>
  <si>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</si>
  <si>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</si>
  <si>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</si>
  <si>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</si>
  <si>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</si>
  <si>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</si>
  <si>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</si>
  <si>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</si>
  <si>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</si>
  <si>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</si>
  <si>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</si>
  <si>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</si>
  <si>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</si>
  <si>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</si>
  <si>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</si>
  <si>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</si>
  <si>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</si>
  <si>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</si>
  <si>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</si>
  <si>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</si>
  <si>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</si>
  <si>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</si>
  <si>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</si>
  <si>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</si>
  <si>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</si>
  <si>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</si>
  <si>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</si>
  <si>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</si>
  <si>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</si>
  <si>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</si>
  <si>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</si>
  <si>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</si>
  <si>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</si>
  <si>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</si>
  <si>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</si>
  <si>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</si>
  <si>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</si>
  <si>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</si>
  <si>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</si>
  <si>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</si>
  <si>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</si>
  <si>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</si>
  <si>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</si>
  <si>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</si>
  <si>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</si>
  <si>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</si>
  <si>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</si>
  <si>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</si>
  <si>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</si>
  <si>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</si>
  <si>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</si>
  <si>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</si>
  <si>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</si>
  <si>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</si>
  <si>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</si>
  <si>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</si>
  <si>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</si>
  <si>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</si>
  <si>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</si>
  <si>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</si>
  <si>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</si>
  <si>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</si>
  <si>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</si>
  <si>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</si>
  <si>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</si>
  <si>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</si>
  <si>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</si>
  <si>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</si>
  <si>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</si>
  <si>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</si>
  <si>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</si>
  <si>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</si>
  <si>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</si>
  <si>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</si>
  <si>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</si>
  <si>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</si>
  <si>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</si>
  <si>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</si>
  <si>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</si>
  <si>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</si>
  <si>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</si>
  <si>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</si>
  <si>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</si>
  <si>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</si>
  <si>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</si>
  <si>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</si>
  <si>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</si>
  <si>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</si>
  <si>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</si>
  <si>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</si>
  <si>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</si>
  <si>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</si>
  <si>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</si>
  <si>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</si>
  <si>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</si>
  <si>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</si>
  <si>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</si>
  <si>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</si>
  <si>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</si>
  <si>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</si>
  <si>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</si>
  <si>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</si>
  <si>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</si>
  <si>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</si>
  <si>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</si>
  <si>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</si>
  <si>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</si>
  <si>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</si>
  <si>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</si>
  <si>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</si>
  <si>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</si>
  <si>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</si>
  <si>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</si>
  <si>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</si>
  <si>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</si>
  <si>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</si>
  <si>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</si>
  <si>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</si>
  <si>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</si>
  <si>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</si>
  <si>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</si>
  <si>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</si>
  <si>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</si>
  <si>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</si>
  <si>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</si>
  <si>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</si>
  <si>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</si>
  <si>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</si>
  <si>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</si>
  <si>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</si>
  <si>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</si>
  <si>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</si>
  <si>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</si>
  <si>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</si>
  <si>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</si>
  <si>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</si>
  <si>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</si>
  <si>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</si>
  <si>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</si>
  <si>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</si>
  <si>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</si>
  <si>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</si>
  <si>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</si>
  <si>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</si>
  <si>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</si>
  <si>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</si>
  <si>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</si>
  <si>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</si>
  <si>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</si>
  <si>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</si>
  <si>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</si>
  <si>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</si>
  <si>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</si>
  <si>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</si>
  <si>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</si>
  <si>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</si>
  <si>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</si>
  <si>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</si>
  <si>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</si>
  <si>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</si>
  <si>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</si>
  <si>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</si>
  <si>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</si>
  <si>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</si>
  <si>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</si>
  <si>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</si>
  <si>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</si>
  <si>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</si>
  <si>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</si>
  <si>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</si>
  <si>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</si>
  <si>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</si>
  <si>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</si>
  <si>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</si>
  <si>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</si>
  <si>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</si>
  <si>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</si>
  <si>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</si>
  <si>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</si>
  <si>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</si>
  <si>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</si>
  <si>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</si>
  <si>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</si>
  <si>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</si>
  <si>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</si>
  <si>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</si>
  <si>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</si>
  <si>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</si>
  <si>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</si>
  <si>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</si>
  <si>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</si>
  <si>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</si>
  <si>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</si>
  <si>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</si>
  <si>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</si>
  <si>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</si>
  <si>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</si>
  <si>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</si>
  <si>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</si>
  <si>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</si>
  <si>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</si>
  <si>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</si>
  <si>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</si>
  <si>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</si>
  <si>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</si>
  <si>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</si>
  <si>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</si>
  <si>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</si>
  <si>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</si>
  <si>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</si>
  <si>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</si>
  <si>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</si>
  <si>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</si>
  <si>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</si>
  <si>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</si>
  <si>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</si>
  <si>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</si>
  <si>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</si>
  <si>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</si>
  <si>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</si>
  <si>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</si>
  <si>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</si>
  <si>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</si>
  <si>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</si>
  <si>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</si>
  <si>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</si>
  <si>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</si>
  <si>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</si>
  <si>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</si>
  <si>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</si>
  <si>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</si>
  <si>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</si>
  <si>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</si>
  <si>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</si>
  <si>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</si>
  <si>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</si>
  <si>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</si>
  <si>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</si>
  <si>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</si>
  <si>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</si>
  <si>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</si>
  <si>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</si>
  <si>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</si>
  <si>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</si>
  <si>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</si>
  <si>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</si>
  <si>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</si>
  <si>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</si>
  <si>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</si>
  <si>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</si>
  <si>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</si>
  <si>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</si>
  <si>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</si>
  <si>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</si>
  <si>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</si>
  <si>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</si>
  <si>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</si>
  <si>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</si>
  <si>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</si>
  <si>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</si>
  <si>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</si>
  <si>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</si>
  <si>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</si>
  <si>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</si>
  <si>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</si>
  <si>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</si>
  <si>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</si>
  <si>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</si>
  <si>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</si>
  <si>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</si>
  <si>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</si>
  <si>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</si>
  <si>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</si>
  <si>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</si>
  <si>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</si>
  <si>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</si>
  <si>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</si>
  <si>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</si>
  <si>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</si>
  <si>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</si>
  <si>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</si>
  <si>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</si>
  <si>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</si>
  <si>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</si>
  <si>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</si>
  <si>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</si>
  <si>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</si>
  <si>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</si>
  <si>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</si>
  <si>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</si>
  <si>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</si>
  <si>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</si>
  <si>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</si>
  <si>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</si>
  <si>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</si>
  <si>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</si>
  <si>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</si>
  <si>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</si>
  <si>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</si>
  <si>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</si>
  <si>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</si>
  <si>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</si>
  <si>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</si>
  <si>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</si>
  <si>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</si>
  <si>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</si>
  <si>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</si>
  <si>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</si>
  <si>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</si>
  <si>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</si>
  <si>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</si>
  <si>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</si>
  <si>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</si>
  <si>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</si>
  <si>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</si>
  <si>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</si>
  <si>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</si>
  <si>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</si>
  <si>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</si>
  <si>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</si>
  <si>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</si>
  <si>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</si>
  <si>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</si>
  <si>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</si>
  <si>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</si>
  <si>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</si>
  <si>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</si>
  <si>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</si>
  <si>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</si>
  <si>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</si>
  <si>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</si>
  <si>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</si>
  <si>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</si>
  <si>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</si>
  <si>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</si>
  <si>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</si>
  <si>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</si>
  <si>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</si>
  <si>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</si>
  <si>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</si>
  <si>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July 1999</t>
  </si>
  <si>
    <t>August 2014</t>
  </si>
  <si>
    <t>PITTSBURG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</si>
</sst>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115" zoomScaleNormal="115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H665" sqref="H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437</v>
      </c>
      <c r="C2" s="21">
        <v>437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234708.32</v>
      </c>
      <c r="G9" s="18">
        <v>1011.09</v>
      </c>
      <c r="H9" s="18"/>
      <c r="I9" s="18"/>
      <c r="J9" s="67">
        <f>SUM(I438)</f>
        <v>498238.17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23200.14</v>
      </c>
      <c r="G12" s="18">
        <v>6409.15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15272.19</v>
      </c>
      <c r="G13" s="18">
        <v>4294.6499999999996</v>
      </c>
      <c r="H13" s="18">
        <f>31028.04+1415.52</f>
        <v>32443.56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1356.68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273180.65000000002</v>
      </c>
      <c r="G19" s="41">
        <f>SUM(G9:G18)</f>
        <v>13071.57</v>
      </c>
      <c r="H19" s="41">
        <f>SUM(H9:H18)</f>
        <v>32443.56</v>
      </c>
      <c r="I19" s="41">
        <f>SUM(I9:I18)</f>
        <v>0</v>
      </c>
      <c r="J19" s="41">
        <f>SUM(J9:J18)</f>
        <v>498238.17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0</v>
      </c>
      <c r="H22" s="18">
        <v>29609.29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39157.550000000003</v>
      </c>
      <c r="G24" s="18">
        <v>425.71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4665.9399999999996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384.86+897.44+1057.58</f>
        <v>2339.88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2834.27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46163.37</v>
      </c>
      <c r="G32" s="41">
        <f>SUM(G22:G31)</f>
        <v>425.71</v>
      </c>
      <c r="H32" s="41">
        <f>SUM(H22:H31)</f>
        <v>32443.56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1356.68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f>12371.28+56556.5-57638.6</f>
        <v>11289.18</v>
      </c>
      <c r="H47" s="18"/>
      <c r="I47" s="18"/>
      <c r="J47" s="13">
        <f>SUM(I458)</f>
        <v>498238.17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227017.28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227017.28</v>
      </c>
      <c r="G50" s="41">
        <f>SUM(G35:G49)</f>
        <v>12645.86</v>
      </c>
      <c r="H50" s="41">
        <f>SUM(H35:H49)</f>
        <v>0</v>
      </c>
      <c r="I50" s="41">
        <f>SUM(I35:I49)</f>
        <v>0</v>
      </c>
      <c r="J50" s="41">
        <f>SUM(J35:J49)</f>
        <v>498238.17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273180.65000000002</v>
      </c>
      <c r="G51" s="41">
        <f>G50+G32</f>
        <v>13071.57</v>
      </c>
      <c r="H51" s="41">
        <f>H50+H32</f>
        <v>32443.56</v>
      </c>
      <c r="I51" s="41">
        <f>I50+I32</f>
        <v>0</v>
      </c>
      <c r="J51" s="41">
        <f>J50+J32</f>
        <v>498238.17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1610557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1610557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311814.40000000002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311814.40000000002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124.05</v>
      </c>
      <c r="G95" s="18"/>
      <c r="H95" s="18"/>
      <c r="I95" s="18"/>
      <c r="J95" s="18">
        <v>361.36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26736.1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16118.46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33870.870000000003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628.96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271.37</v>
      </c>
      <c r="G109" s="18"/>
      <c r="H109" s="18">
        <f>1750+53026.32</f>
        <v>54776.32</v>
      </c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51013.710000000006</v>
      </c>
      <c r="G110" s="41">
        <f>SUM(G95:G109)</f>
        <v>26736.1</v>
      </c>
      <c r="H110" s="41">
        <f>SUM(H95:H109)</f>
        <v>54776.32</v>
      </c>
      <c r="I110" s="41">
        <f>SUM(I95:I109)</f>
        <v>0</v>
      </c>
      <c r="J110" s="41">
        <f>SUM(J95:J109)</f>
        <v>361.36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1973385.1099999999</v>
      </c>
      <c r="G111" s="41">
        <f>G59+G110</f>
        <v>26736.1</v>
      </c>
      <c r="H111" s="41">
        <f>H59+H78+H93+H110</f>
        <v>54776.32</v>
      </c>
      <c r="I111" s="41">
        <f>I59+I110</f>
        <v>0</v>
      </c>
      <c r="J111" s="41">
        <f>J59+J110</f>
        <v>361.36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35370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631746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667116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85234.03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4039.78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259.26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101.58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89533.069999999992</v>
      </c>
      <c r="G135" s="41">
        <f>SUM(G122:G134)</f>
        <v>101.58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756649.07</v>
      </c>
      <c r="G139" s="41">
        <f>G120+SUM(G135:G136)</f>
        <v>101.58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>
        <f>13261.86+7891.34</f>
        <v>21153.200000000001</v>
      </c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21153.200000000001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58388.06+638</f>
        <v>59026.06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8307.49+4820.37+5008.96</f>
        <v>18136.82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21718.82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1750.14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1750.14</v>
      </c>
      <c r="G161" s="41">
        <f>SUM(G149:G160)</f>
        <v>21718.82</v>
      </c>
      <c r="H161" s="41">
        <f>SUM(H149:H160)</f>
        <v>77162.880000000005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1750.14</v>
      </c>
      <c r="G168" s="41">
        <f>G146+G161+SUM(G162:G167)</f>
        <v>21718.82</v>
      </c>
      <c r="H168" s="41">
        <f>H146+H161+SUM(H162:H167)</f>
        <v>98316.08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8000</v>
      </c>
      <c r="H178" s="18"/>
      <c r="I178" s="18"/>
      <c r="J178" s="18">
        <v>20000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8000</v>
      </c>
      <c r="H182" s="41">
        <f>SUM(H178:H181)</f>
        <v>0</v>
      </c>
      <c r="I182" s="41">
        <f>SUM(I178:I181)</f>
        <v>0</v>
      </c>
      <c r="J182" s="41">
        <f>SUM(J178:J181)</f>
        <v>20000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8000</v>
      </c>
      <c r="H191" s="41">
        <f>+H182+SUM(H187:H190)</f>
        <v>0</v>
      </c>
      <c r="I191" s="41">
        <f>I176+I182+SUM(I187:I190)</f>
        <v>0</v>
      </c>
      <c r="J191" s="41">
        <f>J182</f>
        <v>20000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2731784.32</v>
      </c>
      <c r="G192" s="47">
        <f>G111+G139+G168+G191</f>
        <v>56556.5</v>
      </c>
      <c r="H192" s="47">
        <f>H111+H139+H168+H191</f>
        <v>153092.4</v>
      </c>
      <c r="I192" s="47">
        <f>I111+I139+I168+I191</f>
        <v>0</v>
      </c>
      <c r="J192" s="47">
        <f>J111+J139+J191</f>
        <v>20361.36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512202.1</v>
      </c>
      <c r="G196" s="18">
        <f>268472.5-6722.85</f>
        <v>261749.65</v>
      </c>
      <c r="H196" s="18">
        <v>7521.43</v>
      </c>
      <c r="I196" s="18">
        <v>10804.7</v>
      </c>
      <c r="J196" s="18">
        <v>522.61</v>
      </c>
      <c r="K196" s="18"/>
      <c r="L196" s="19">
        <f>SUM(F196:K196)</f>
        <v>792800.49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70081.399999999994</v>
      </c>
      <c r="G197" s="18">
        <f>26625.18+6774.18</f>
        <v>33399.360000000001</v>
      </c>
      <c r="H197" s="18">
        <v>63</v>
      </c>
      <c r="I197" s="18">
        <v>5.2</v>
      </c>
      <c r="J197" s="18"/>
      <c r="K197" s="18">
        <v>194</v>
      </c>
      <c r="L197" s="19">
        <f>SUM(F197:K197)</f>
        <v>103742.95999999999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908.3+3158.5</f>
        <v>4066.8</v>
      </c>
      <c r="G199" s="18">
        <f>132.45+470.62</f>
        <v>603.06999999999994</v>
      </c>
      <c r="H199" s="18"/>
      <c r="I199" s="18"/>
      <c r="J199" s="18"/>
      <c r="K199" s="18">
        <v>290</v>
      </c>
      <c r="L199" s="19">
        <f>SUM(F199:K199)</f>
        <v>4959.87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14352+9762.74+9122.28+792.67</f>
        <v>34029.689999999995</v>
      </c>
      <c r="G201" s="18">
        <f>8651.24+749.56+697.91+150.21</f>
        <v>10248.919999999998</v>
      </c>
      <c r="H201" s="18">
        <f>912.95+25258.4+2948.75+8566+3853.16</f>
        <v>41539.260000000009</v>
      </c>
      <c r="I201" s="18">
        <f>145.43+560.6+127.73+3601.95</f>
        <v>4435.71</v>
      </c>
      <c r="J201" s="18">
        <f>399+5410.81</f>
        <v>5809.81</v>
      </c>
      <c r="K201" s="18">
        <f>632.77+535</f>
        <v>1167.77</v>
      </c>
      <c r="L201" s="19">
        <f t="shared" ref="L201:L207" si="0">SUM(F201:K201)</f>
        <v>97231.16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4211+24540.9</f>
        <v>28751.9</v>
      </c>
      <c r="G202" s="18">
        <f>3873.09+5834.62</f>
        <v>9707.7099999999991</v>
      </c>
      <c r="H202" s="18">
        <f>252.96</f>
        <v>252.96</v>
      </c>
      <c r="I202" s="18">
        <v>2865.04</v>
      </c>
      <c r="J202" s="18">
        <v>432.14</v>
      </c>
      <c r="K202" s="18">
        <f>442.06+1767+491.4</f>
        <v>2700.46</v>
      </c>
      <c r="L202" s="19">
        <f t="shared" si="0"/>
        <v>44710.21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1894.6+999.96</f>
        <v>2894.56</v>
      </c>
      <c r="G203" s="18">
        <f>144.95+189.54</f>
        <v>334.49</v>
      </c>
      <c r="H203" s="18">
        <f>17392.17+118702.5+110</f>
        <v>136204.66999999998</v>
      </c>
      <c r="I203" s="18">
        <v>211.89</v>
      </c>
      <c r="J203" s="18"/>
      <c r="K203" s="18">
        <v>2318.7399999999998</v>
      </c>
      <c r="L203" s="19">
        <f t="shared" si="0"/>
        <v>141964.34999999998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52806.98</v>
      </c>
      <c r="G204" s="18">
        <f>21156.23</f>
        <v>21156.23</v>
      </c>
      <c r="H204" s="18">
        <f>5088.25</f>
        <v>5088.25</v>
      </c>
      <c r="I204" s="18">
        <v>2591.91</v>
      </c>
      <c r="J204" s="18">
        <v>1618.38</v>
      </c>
      <c r="K204" s="18">
        <v>950.73</v>
      </c>
      <c r="L204" s="19">
        <f t="shared" si="0"/>
        <v>84212.48000000001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35553.660000000003</v>
      </c>
      <c r="G206" s="18">
        <v>7817.72</v>
      </c>
      <c r="H206" s="18">
        <v>47292.83</v>
      </c>
      <c r="I206" s="18">
        <v>65450.33</v>
      </c>
      <c r="J206" s="18">
        <v>1445.4</v>
      </c>
      <c r="K206" s="18">
        <v>129.6</v>
      </c>
      <c r="L206" s="19">
        <f t="shared" si="0"/>
        <v>157689.54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19521.51+1193.45</f>
        <v>20714.96</v>
      </c>
      <c r="G207" s="18">
        <f>2101.98+91.32</f>
        <v>2193.3000000000002</v>
      </c>
      <c r="H207" s="18">
        <f>14163.77</f>
        <v>14163.77</v>
      </c>
      <c r="I207" s="18">
        <f>7491.34+127.72+350.08</f>
        <v>7969.14</v>
      </c>
      <c r="J207" s="18"/>
      <c r="K207" s="18">
        <v>738.25</v>
      </c>
      <c r="L207" s="19">
        <f t="shared" si="0"/>
        <v>45779.42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v>3450.68</v>
      </c>
      <c r="I208" s="18"/>
      <c r="J208" s="18"/>
      <c r="K208" s="18"/>
      <c r="L208" s="19">
        <f>SUM(F208:K208)</f>
        <v>3450.68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761102.05</v>
      </c>
      <c r="G210" s="41">
        <f t="shared" si="1"/>
        <v>347210.44999999995</v>
      </c>
      <c r="H210" s="41">
        <f t="shared" si="1"/>
        <v>255576.85</v>
      </c>
      <c r="I210" s="41">
        <f t="shared" si="1"/>
        <v>94333.92</v>
      </c>
      <c r="J210" s="41">
        <f t="shared" si="1"/>
        <v>9828.34</v>
      </c>
      <c r="K210" s="41">
        <f t="shared" si="1"/>
        <v>8489.5499999999993</v>
      </c>
      <c r="L210" s="41">
        <f t="shared" si="1"/>
        <v>1476541.16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322516.03999999998</v>
      </c>
      <c r="G232" s="18">
        <f>156404.51-2881.23</f>
        <v>153523.28</v>
      </c>
      <c r="H232" s="18">
        <v>16075.76</v>
      </c>
      <c r="I232" s="18">
        <v>7144.1</v>
      </c>
      <c r="J232" s="18">
        <v>526.49</v>
      </c>
      <c r="K232" s="18"/>
      <c r="L232" s="19">
        <f>SUM(F232:K232)</f>
        <v>499785.66999999993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15986.02</v>
      </c>
      <c r="G233" s="18">
        <v>3547.62</v>
      </c>
      <c r="H233" s="18"/>
      <c r="I233" s="18"/>
      <c r="J233" s="18"/>
      <c r="K233" s="18"/>
      <c r="L233" s="19">
        <f>SUM(F233:K233)</f>
        <v>19533.64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3934.49+18260.5</f>
        <v>22194.989999999998</v>
      </c>
      <c r="G235" s="18">
        <f>703.13+1650.76</f>
        <v>2353.89</v>
      </c>
      <c r="H235" s="18">
        <f>4000+16007.81</f>
        <v>20007.809999999998</v>
      </c>
      <c r="I235" s="18">
        <f>167.43+511.66</f>
        <v>679.09</v>
      </c>
      <c r="J235" s="18">
        <v>10636.86</v>
      </c>
      <c r="K235" s="18">
        <f>4121.5+875</f>
        <v>4996.5</v>
      </c>
      <c r="L235" s="19">
        <f>SUM(F235:K235)</f>
        <v>60869.139999999992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30320.8+1229.06+1134.36</f>
        <v>32684.22</v>
      </c>
      <c r="G237" s="18">
        <f>18319.52+232.89+4340.59</f>
        <v>22893</v>
      </c>
      <c r="H237" s="18">
        <f>955.95+15588.76+220+2011.09</f>
        <v>18775.8</v>
      </c>
      <c r="I237" s="18">
        <f>165+88.14+1893.2</f>
        <v>2146.34</v>
      </c>
      <c r="J237" s="18">
        <v>3378.12</v>
      </c>
      <c r="K237" s="18">
        <f>387.83+316.38</f>
        <v>704.21</v>
      </c>
      <c r="L237" s="19">
        <f t="shared" ref="L237:L243" si="4">SUM(F237:K237)</f>
        <v>80581.69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2023+24540.1</f>
        <v>26563.1</v>
      </c>
      <c r="G238" s="18">
        <v>5834.37</v>
      </c>
      <c r="H238" s="18">
        <v>155.04</v>
      </c>
      <c r="I238" s="18"/>
      <c r="J238" s="18"/>
      <c r="K238" s="18">
        <f>1353.94+189</f>
        <v>1542.94</v>
      </c>
      <c r="L238" s="19">
        <f t="shared" si="4"/>
        <v>34095.449999999997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1227.9000000000001</v>
      </c>
      <c r="G239" s="18">
        <v>93.99</v>
      </c>
      <c r="H239" s="18">
        <f>10190.09+68969.46</f>
        <v>79159.55</v>
      </c>
      <c r="I239" s="18">
        <v>130.02000000000001</v>
      </c>
      <c r="J239" s="18"/>
      <c r="K239" s="18">
        <v>1401.23</v>
      </c>
      <c r="L239" s="19">
        <f t="shared" si="4"/>
        <v>82012.69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49655.75</v>
      </c>
      <c r="G240" s="18">
        <v>14969.33</v>
      </c>
      <c r="H240" s="18">
        <v>2636.19</v>
      </c>
      <c r="I240" s="18">
        <v>1303.04</v>
      </c>
      <c r="J240" s="18"/>
      <c r="K240" s="18">
        <v>491.26</v>
      </c>
      <c r="L240" s="19">
        <f t="shared" si="4"/>
        <v>69055.569999999992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30255.48</v>
      </c>
      <c r="G242" s="18">
        <v>20271.63</v>
      </c>
      <c r="H242" s="18">
        <v>29346.36</v>
      </c>
      <c r="I242" s="18">
        <v>38051.1</v>
      </c>
      <c r="J242" s="18">
        <v>963.6</v>
      </c>
      <c r="K242" s="18">
        <v>68.400000000000006</v>
      </c>
      <c r="L242" s="19">
        <f t="shared" si="4"/>
        <v>118956.57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10568.78+14512.44+812.93</f>
        <v>25894.15</v>
      </c>
      <c r="G243" s="18">
        <f>1217.24+1110.29+62.19</f>
        <v>2389.7199999999998</v>
      </c>
      <c r="H243" s="18">
        <f>259.26+7889.69</f>
        <v>8148.95</v>
      </c>
      <c r="I243" s="18">
        <f>3395.02+6165.99+1563.17</f>
        <v>11124.18</v>
      </c>
      <c r="J243" s="18"/>
      <c r="K243" s="18">
        <v>434.9</v>
      </c>
      <c r="L243" s="19">
        <f t="shared" si="4"/>
        <v>47991.9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>
        <v>2115.27</v>
      </c>
      <c r="I244" s="18"/>
      <c r="J244" s="18"/>
      <c r="K244" s="18"/>
      <c r="L244" s="19">
        <f>SUM(F244:K244)</f>
        <v>2115.27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526977.65</v>
      </c>
      <c r="G246" s="41">
        <f t="shared" si="5"/>
        <v>225876.83</v>
      </c>
      <c r="H246" s="41">
        <f t="shared" si="5"/>
        <v>176420.73</v>
      </c>
      <c r="I246" s="41">
        <f t="shared" si="5"/>
        <v>60577.87</v>
      </c>
      <c r="J246" s="41">
        <f t="shared" si="5"/>
        <v>15505.070000000002</v>
      </c>
      <c r="K246" s="41">
        <f t="shared" si="5"/>
        <v>9639.4399999999987</v>
      </c>
      <c r="L246" s="41">
        <f t="shared" si="5"/>
        <v>1014997.5899999997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1288079.7000000002</v>
      </c>
      <c r="G256" s="41">
        <f t="shared" si="8"/>
        <v>573087.27999999991</v>
      </c>
      <c r="H256" s="41">
        <f t="shared" si="8"/>
        <v>431997.58</v>
      </c>
      <c r="I256" s="41">
        <f t="shared" si="8"/>
        <v>154911.79</v>
      </c>
      <c r="J256" s="41">
        <f t="shared" si="8"/>
        <v>25333.410000000003</v>
      </c>
      <c r="K256" s="41">
        <f t="shared" si="8"/>
        <v>18128.989999999998</v>
      </c>
      <c r="L256" s="41">
        <f t="shared" si="8"/>
        <v>2491538.7499999995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200000</v>
      </c>
      <c r="L259" s="19">
        <f>SUM(F259:K259)</f>
        <v>200000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25725</v>
      </c>
      <c r="L260" s="19">
        <f>SUM(F260:K260)</f>
        <v>25725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8000</v>
      </c>
      <c r="L262" s="19">
        <f>SUM(F262:K262)</f>
        <v>8000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20000</v>
      </c>
      <c r="L265" s="19">
        <f t="shared" si="9"/>
        <v>20000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253725</v>
      </c>
      <c r="L269" s="41">
        <f t="shared" si="9"/>
        <v>253725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1288079.7000000002</v>
      </c>
      <c r="G270" s="42">
        <f t="shared" si="11"/>
        <v>573087.27999999991</v>
      </c>
      <c r="H270" s="42">
        <f t="shared" si="11"/>
        <v>431997.58</v>
      </c>
      <c r="I270" s="42">
        <f t="shared" si="11"/>
        <v>154911.79</v>
      </c>
      <c r="J270" s="42">
        <f t="shared" si="11"/>
        <v>25333.410000000003</v>
      </c>
      <c r="K270" s="42">
        <f t="shared" si="11"/>
        <v>271853.99</v>
      </c>
      <c r="L270" s="42">
        <f t="shared" si="11"/>
        <v>2745263.7499999995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>
        <f>1750+158.8</f>
        <v>1908.8</v>
      </c>
      <c r="J275" s="18">
        <v>52867.519999999997</v>
      </c>
      <c r="K275" s="18"/>
      <c r="L275" s="19">
        <f>SUM(F275:K275)</f>
        <v>54776.32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39868.94</f>
        <v>39868.94</v>
      </c>
      <c r="G276" s="18">
        <f>7555.11</f>
        <v>7555.11</v>
      </c>
      <c r="H276" s="18"/>
      <c r="I276" s="18">
        <f>8252.86</f>
        <v>8252.86</v>
      </c>
      <c r="J276" s="18">
        <f>438+2711.15</f>
        <v>3149.15</v>
      </c>
      <c r="K276" s="18"/>
      <c r="L276" s="19">
        <f>SUM(F276:K276)</f>
        <v>58826.060000000005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4785.5+3867.5+2000+1309+5739.5</f>
        <v>17701.5</v>
      </c>
      <c r="G281" s="18">
        <f>906.99+732.87+379+1087.46+248.06</f>
        <v>3354.38</v>
      </c>
      <c r="H281" s="18">
        <f>2615+2629.96+6434.9+6334.28</f>
        <v>18014.14</v>
      </c>
      <c r="I281" s="18"/>
      <c r="J281" s="18"/>
      <c r="K281" s="18"/>
      <c r="L281" s="19">
        <f t="shared" si="12"/>
        <v>39070.020000000004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f>200+220</f>
        <v>420</v>
      </c>
      <c r="L284" s="19">
        <f t="shared" si="12"/>
        <v>420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57570.44</v>
      </c>
      <c r="G289" s="42">
        <f t="shared" si="13"/>
        <v>10909.49</v>
      </c>
      <c r="H289" s="42">
        <f t="shared" si="13"/>
        <v>18014.14</v>
      </c>
      <c r="I289" s="42">
        <f t="shared" si="13"/>
        <v>10161.66</v>
      </c>
      <c r="J289" s="42">
        <f t="shared" si="13"/>
        <v>56016.67</v>
      </c>
      <c r="K289" s="42">
        <f t="shared" si="13"/>
        <v>420</v>
      </c>
      <c r="L289" s="41">
        <f t="shared" si="13"/>
        <v>153092.40000000002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57570.44</v>
      </c>
      <c r="G337" s="41">
        <f t="shared" si="20"/>
        <v>10909.49</v>
      </c>
      <c r="H337" s="41">
        <f t="shared" si="20"/>
        <v>18014.14</v>
      </c>
      <c r="I337" s="41">
        <f t="shared" si="20"/>
        <v>10161.66</v>
      </c>
      <c r="J337" s="41">
        <f t="shared" si="20"/>
        <v>56016.67</v>
      </c>
      <c r="K337" s="41">
        <f t="shared" si="20"/>
        <v>420</v>
      </c>
      <c r="L337" s="41">
        <f t="shared" si="20"/>
        <v>153092.40000000002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57570.44</v>
      </c>
      <c r="G351" s="41">
        <f>G337</f>
        <v>10909.49</v>
      </c>
      <c r="H351" s="41">
        <f>H337</f>
        <v>18014.14</v>
      </c>
      <c r="I351" s="41">
        <f>I337</f>
        <v>10161.66</v>
      </c>
      <c r="J351" s="41">
        <f>J337</f>
        <v>56016.67</v>
      </c>
      <c r="K351" s="47">
        <f>K337+K350</f>
        <v>420</v>
      </c>
      <c r="L351" s="41">
        <f>L337+L350</f>
        <v>153092.40000000002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f>35108.75</f>
        <v>35108.75</v>
      </c>
      <c r="I357" s="18">
        <v>900.61</v>
      </c>
      <c r="J357" s="18"/>
      <c r="K357" s="18"/>
      <c r="L357" s="13">
        <f>SUM(F357:K357)</f>
        <v>36009.360000000001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v>21313.09</v>
      </c>
      <c r="I359" s="18">
        <v>316.14999999999998</v>
      </c>
      <c r="J359" s="18"/>
      <c r="K359" s="18"/>
      <c r="L359" s="19">
        <f>SUM(F359:K359)</f>
        <v>21629.24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56421.84</v>
      </c>
      <c r="I361" s="47">
        <f t="shared" si="22"/>
        <v>1216.76</v>
      </c>
      <c r="J361" s="47">
        <f t="shared" si="22"/>
        <v>0</v>
      </c>
      <c r="K361" s="47">
        <f t="shared" si="22"/>
        <v>0</v>
      </c>
      <c r="L361" s="47">
        <f t="shared" si="22"/>
        <v>57638.600000000006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900.61</v>
      </c>
      <c r="G367" s="63"/>
      <c r="H367" s="63">
        <v>316.14999999999998</v>
      </c>
      <c r="I367" s="56">
        <f>SUM(F367:H367)</f>
        <v>1216.76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900.61</v>
      </c>
      <c r="G368" s="47">
        <f>SUM(G366:G367)</f>
        <v>0</v>
      </c>
      <c r="H368" s="47">
        <f>SUM(H366:H367)</f>
        <v>316.14999999999998</v>
      </c>
      <c r="I368" s="47">
        <f>SUM(I366:I367)</f>
        <v>1216.76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10000</v>
      </c>
      <c r="H395" s="18">
        <f>2.65+29.67+50.4</f>
        <v>82.72</v>
      </c>
      <c r="I395" s="18"/>
      <c r="J395" s="24" t="s">
        <v>289</v>
      </c>
      <c r="K395" s="24" t="s">
        <v>289</v>
      </c>
      <c r="L395" s="56">
        <f t="shared" si="26"/>
        <v>10082.719999999999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5000</v>
      </c>
      <c r="H397" s="18">
        <f>64.71</f>
        <v>64.709999999999994</v>
      </c>
      <c r="I397" s="18"/>
      <c r="J397" s="24" t="s">
        <v>289</v>
      </c>
      <c r="K397" s="24" t="s">
        <v>289</v>
      </c>
      <c r="L397" s="56">
        <f t="shared" si="26"/>
        <v>5064.71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>
        <v>3.71</v>
      </c>
      <c r="I398" s="18"/>
      <c r="J398" s="24" t="s">
        <v>289</v>
      </c>
      <c r="K398" s="24" t="s">
        <v>289</v>
      </c>
      <c r="L398" s="56">
        <f t="shared" si="26"/>
        <v>3.71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5000</v>
      </c>
      <c r="H399" s="18">
        <f>5.61+193.09+4.66+6.86</f>
        <v>210.22000000000003</v>
      </c>
      <c r="I399" s="18"/>
      <c r="J399" s="24" t="s">
        <v>289</v>
      </c>
      <c r="K399" s="24" t="s">
        <v>289</v>
      </c>
      <c r="L399" s="56">
        <f t="shared" si="26"/>
        <v>5210.22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20000</v>
      </c>
      <c r="H400" s="47">
        <f>SUM(H394:H399)</f>
        <v>361.36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20361.36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20000</v>
      </c>
      <c r="H407" s="47">
        <f>H392+H400+H406</f>
        <v>361.36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20361.36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498238.17</v>
      </c>
      <c r="H438" s="18"/>
      <c r="I438" s="56">
        <f t="shared" ref="I438:I444" si="33">SUM(F438:H438)</f>
        <v>498238.17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498238.17</v>
      </c>
      <c r="H445" s="13">
        <f>SUM(H438:H444)</f>
        <v>0</v>
      </c>
      <c r="I445" s="13">
        <f>SUM(I438:I444)</f>
        <v>498238.17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498238.17</v>
      </c>
      <c r="H458" s="18"/>
      <c r="I458" s="56">
        <f t="shared" si="34"/>
        <v>498238.17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498238.17</v>
      </c>
      <c r="H459" s="83">
        <f>SUM(H453:H458)</f>
        <v>0</v>
      </c>
      <c r="I459" s="83">
        <f>SUM(I453:I458)</f>
        <v>498238.17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498238.17</v>
      </c>
      <c r="H460" s="42">
        <f>H451+H459</f>
        <v>0</v>
      </c>
      <c r="I460" s="42">
        <f>I451+I459</f>
        <v>498238.17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240496.71</v>
      </c>
      <c r="G464" s="18">
        <v>16378.7</v>
      </c>
      <c r="H464" s="18"/>
      <c r="I464" s="18"/>
      <c r="J464" s="18">
        <v>477876.81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2731784.32</v>
      </c>
      <c r="G467" s="18">
        <v>56556.5</v>
      </c>
      <c r="H467" s="18">
        <f>58388.06+638+8307.49+4820.37+5008.96+13261.86+7891.34+1750+53026.32</f>
        <v>153092.4</v>
      </c>
      <c r="I467" s="18"/>
      <c r="J467" s="18">
        <v>20361.36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2731784.32</v>
      </c>
      <c r="G469" s="53">
        <f>SUM(G467:G468)</f>
        <v>56556.5</v>
      </c>
      <c r="H469" s="53">
        <f>SUM(H467:H468)</f>
        <v>153092.4</v>
      </c>
      <c r="I469" s="53">
        <f>SUM(I467:I468)</f>
        <v>0</v>
      </c>
      <c r="J469" s="53">
        <f>SUM(J467:J468)</f>
        <v>20361.36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2745263.75</v>
      </c>
      <c r="G471" s="18">
        <v>57638.6</v>
      </c>
      <c r="H471" s="18">
        <f>58388.06+638+8307.49+4820.37+5008.96+13261.86+7891.34+1750+53026.32</f>
        <v>153092.4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>
        <v>2650.74</v>
      </c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2745263.75</v>
      </c>
      <c r="G473" s="53">
        <f>SUM(G471:G472)</f>
        <v>60289.34</v>
      </c>
      <c r="H473" s="53">
        <f>SUM(H471:H472)</f>
        <v>153092.4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227017.2799999998</v>
      </c>
      <c r="G475" s="53">
        <f>(G464+G469)- G473</f>
        <v>12645.86</v>
      </c>
      <c r="H475" s="53">
        <f>(H464+H469)- H473</f>
        <v>0</v>
      </c>
      <c r="I475" s="53">
        <f>(I464+I469)- I473</f>
        <v>0</v>
      </c>
      <c r="J475" s="53">
        <f>(J464+J469)- J473</f>
        <v>498238.17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 t="s">
        <v>287</v>
      </c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287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287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3010000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5.25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590000</v>
      </c>
      <c r="G494" s="18"/>
      <c r="H494" s="18"/>
      <c r="I494" s="18"/>
      <c r="J494" s="18"/>
      <c r="K494" s="53">
        <f>SUM(F494:J494)</f>
        <v>590000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200000</v>
      </c>
      <c r="G496" s="18"/>
      <c r="H496" s="18"/>
      <c r="I496" s="18"/>
      <c r="J496" s="18"/>
      <c r="K496" s="53">
        <f t="shared" si="35"/>
        <v>200000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390000</v>
      </c>
      <c r="G497" s="204"/>
      <c r="H497" s="204"/>
      <c r="I497" s="204"/>
      <c r="J497" s="204"/>
      <c r="K497" s="205">
        <f t="shared" si="35"/>
        <v>390000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10237.5+5118.75+5118.75</f>
        <v>20475</v>
      </c>
      <c r="G498" s="18"/>
      <c r="H498" s="18"/>
      <c r="I498" s="18"/>
      <c r="J498" s="18"/>
      <c r="K498" s="53">
        <f t="shared" si="35"/>
        <v>20475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410475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410475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195000</v>
      </c>
      <c r="G500" s="204"/>
      <c r="H500" s="204"/>
      <c r="I500" s="204"/>
      <c r="J500" s="204"/>
      <c r="K500" s="205">
        <f t="shared" si="35"/>
        <v>195000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10237.5+5118.75</f>
        <v>15356.25</v>
      </c>
      <c r="G501" s="18"/>
      <c r="H501" s="18"/>
      <c r="I501" s="18"/>
      <c r="J501" s="18"/>
      <c r="K501" s="53">
        <f t="shared" si="35"/>
        <v>15356.25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210356.25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210356.25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41109.1+26522.55+2449.75</f>
        <v>70081.399999999994</v>
      </c>
      <c r="G520" s="18">
        <f>16461.51+5101.72+4935.95+126</f>
        <v>26625.18</v>
      </c>
      <c r="H520" s="18">
        <v>0</v>
      </c>
      <c r="I520" s="18"/>
      <c r="J520" s="18">
        <v>0</v>
      </c>
      <c r="K520" s="18"/>
      <c r="L520" s="88">
        <f>SUM(F520:K520)</f>
        <v>96706.579999999987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4566.9+11419.12</f>
        <v>15986.02</v>
      </c>
      <c r="G522" s="18">
        <f>1828.86+1202.66+516.1</f>
        <v>3547.62</v>
      </c>
      <c r="H522" s="18"/>
      <c r="I522" s="18"/>
      <c r="J522" s="18"/>
      <c r="K522" s="18"/>
      <c r="L522" s="88">
        <f>SUM(F522:K522)</f>
        <v>19533.64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86067.42</v>
      </c>
      <c r="G523" s="108">
        <f t="shared" ref="G523:L523" si="36">SUM(G520:G522)</f>
        <v>30172.799999999999</v>
      </c>
      <c r="H523" s="108">
        <f t="shared" si="36"/>
        <v>0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116240.21999999999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5411.02+159+5436.62</f>
        <v>11006.64</v>
      </c>
      <c r="G525" s="18">
        <f>414.46+415.95</f>
        <v>830.41</v>
      </c>
      <c r="H525" s="18">
        <f>5642+13888.8</f>
        <v>19530.8</v>
      </c>
      <c r="I525" s="18">
        <f>298.85+261.75+127.73</f>
        <v>688.33</v>
      </c>
      <c r="J525" s="18">
        <v>399</v>
      </c>
      <c r="K525" s="18"/>
      <c r="L525" s="88">
        <f>SUM(F525:K525)</f>
        <v>32455.18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3472.2</v>
      </c>
      <c r="I527" s="18"/>
      <c r="J527" s="18"/>
      <c r="K527" s="18"/>
      <c r="L527" s="88">
        <f>SUM(F527:K527)</f>
        <v>3472.2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11006.64</v>
      </c>
      <c r="G528" s="89">
        <f t="shared" ref="G528:L528" si="37">SUM(G525:G527)</f>
        <v>830.41</v>
      </c>
      <c r="H528" s="89">
        <f t="shared" si="37"/>
        <v>23003</v>
      </c>
      <c r="I528" s="89">
        <f t="shared" si="37"/>
        <v>688.33</v>
      </c>
      <c r="J528" s="89">
        <f t="shared" si="37"/>
        <v>399</v>
      </c>
      <c r="K528" s="89">
        <f t="shared" si="37"/>
        <v>0</v>
      </c>
      <c r="L528" s="89">
        <f t="shared" si="37"/>
        <v>35927.379999999997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29678</v>
      </c>
      <c r="I530" s="18"/>
      <c r="J530" s="18"/>
      <c r="K530" s="18"/>
      <c r="L530" s="88">
        <f>SUM(F530:K530)</f>
        <v>29678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7419</v>
      </c>
      <c r="I532" s="18"/>
      <c r="J532" s="18"/>
      <c r="K532" s="18"/>
      <c r="L532" s="88">
        <f>SUM(F532:K532)</f>
        <v>7419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37097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37097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0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97074.06</v>
      </c>
      <c r="G544" s="89">
        <f t="shared" ref="G544:L544" si="41">G523+G528+G533+G538+G543</f>
        <v>31003.21</v>
      </c>
      <c r="H544" s="89">
        <f t="shared" si="41"/>
        <v>60100</v>
      </c>
      <c r="I544" s="89">
        <f t="shared" si="41"/>
        <v>688.33</v>
      </c>
      <c r="J544" s="89">
        <f t="shared" si="41"/>
        <v>399</v>
      </c>
      <c r="K544" s="89">
        <f t="shared" si="41"/>
        <v>0</v>
      </c>
      <c r="L544" s="89">
        <f t="shared" si="41"/>
        <v>189264.59999999998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96706.579999999987</v>
      </c>
      <c r="G548" s="87">
        <f>L525</f>
        <v>32455.18</v>
      </c>
      <c r="H548" s="87">
        <f>L530</f>
        <v>29678</v>
      </c>
      <c r="I548" s="87">
        <f>L535</f>
        <v>0</v>
      </c>
      <c r="J548" s="87">
        <f>L540</f>
        <v>0</v>
      </c>
      <c r="K548" s="87">
        <f>SUM(F548:J548)</f>
        <v>158839.75999999998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19533.64</v>
      </c>
      <c r="G550" s="87">
        <f>L527</f>
        <v>3472.2</v>
      </c>
      <c r="H550" s="87">
        <f>L532</f>
        <v>7419</v>
      </c>
      <c r="I550" s="87">
        <f>L537</f>
        <v>0</v>
      </c>
      <c r="J550" s="87">
        <f>L542</f>
        <v>0</v>
      </c>
      <c r="K550" s="87">
        <f>SUM(F550:J550)</f>
        <v>30424.84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116240.21999999999</v>
      </c>
      <c r="G551" s="89">
        <f t="shared" si="42"/>
        <v>35927.379999999997</v>
      </c>
      <c r="H551" s="89">
        <f t="shared" si="42"/>
        <v>37097</v>
      </c>
      <c r="I551" s="89">
        <f t="shared" si="42"/>
        <v>0</v>
      </c>
      <c r="J551" s="89">
        <f t="shared" si="42"/>
        <v>0</v>
      </c>
      <c r="K551" s="89">
        <f t="shared" si="42"/>
        <v>189264.59999999998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44016.85</v>
      </c>
      <c r="I590" s="18"/>
      <c r="J590" s="18">
        <v>23505.63</v>
      </c>
      <c r="K590" s="104">
        <f t="shared" ref="K590:K596" si="48">SUM(H590:J590)</f>
        <v>67522.48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259.26</v>
      </c>
      <c r="K592" s="104">
        <f t="shared" si="48"/>
        <v>259.26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f>127.72</f>
        <v>127.72</v>
      </c>
      <c r="I593" s="18"/>
      <c r="J593" s="18">
        <v>21788.720000000001</v>
      </c>
      <c r="K593" s="104">
        <f t="shared" si="48"/>
        <v>21916.440000000002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1634.85</v>
      </c>
      <c r="I594" s="18"/>
      <c r="J594" s="18">
        <v>2438.29</v>
      </c>
      <c r="K594" s="104">
        <f t="shared" si="48"/>
        <v>4073.14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45779.42</v>
      </c>
      <c r="I597" s="108">
        <f>SUM(I590:I596)</f>
        <v>0</v>
      </c>
      <c r="J597" s="108">
        <f>SUM(J590:J596)</f>
        <v>47991.9</v>
      </c>
      <c r="K597" s="108">
        <f>SUM(K590:K596)</f>
        <v>93771.319999999992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65845.009999999995</v>
      </c>
      <c r="I603" s="18"/>
      <c r="J603" s="18">
        <v>15505.07</v>
      </c>
      <c r="K603" s="104">
        <f>SUM(H603:J603)</f>
        <v>81350.079999999987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65845.009999999995</v>
      </c>
      <c r="I604" s="108">
        <f>SUM(I601:I603)</f>
        <v>0</v>
      </c>
      <c r="J604" s="108">
        <f>SUM(J601:J603)</f>
        <v>15505.07</v>
      </c>
      <c r="K604" s="108">
        <f>SUM(K601:K603)</f>
        <v>81350.079999999987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273180.65000000002</v>
      </c>
      <c r="H616" s="109">
        <f>SUM(F51)</f>
        <v>273180.65000000002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13071.57</v>
      </c>
      <c r="H617" s="109">
        <f>SUM(G51)</f>
        <v>13071.57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32443.56</v>
      </c>
      <c r="H618" s="109">
        <f>SUM(H51)</f>
        <v>32443.56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498238.17</v>
      </c>
      <c r="H620" s="109">
        <f>SUM(J51)</f>
        <v>498238.17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227017.28</v>
      </c>
      <c r="H621" s="109">
        <f>F475</f>
        <v>227017.2799999998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12645.86</v>
      </c>
      <c r="H622" s="109">
        <f>G475</f>
        <v>12645.86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498238.17</v>
      </c>
      <c r="H625" s="109">
        <f>J475</f>
        <v>498238.17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2731784.32</v>
      </c>
      <c r="H626" s="104">
        <f>SUM(F467)</f>
        <v>2731784.32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56556.5</v>
      </c>
      <c r="H627" s="104">
        <f>SUM(G467)</f>
        <v>56556.5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153092.4</v>
      </c>
      <c r="H628" s="104">
        <f>SUM(H467)</f>
        <v>153092.4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20361.36</v>
      </c>
      <c r="H630" s="104">
        <f>SUM(J467)</f>
        <v>20361.36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2745263.7499999995</v>
      </c>
      <c r="H631" s="104">
        <f>SUM(F471)</f>
        <v>2745263.75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153092.40000000002</v>
      </c>
      <c r="H632" s="104">
        <f>SUM(H471)</f>
        <v>153092.4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1216.76</v>
      </c>
      <c r="H633" s="104">
        <f>I368</f>
        <v>1216.76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57638.600000000006</v>
      </c>
      <c r="H634" s="104">
        <f>SUM(G471)</f>
        <v>57638.6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20361.36</v>
      </c>
      <c r="H636" s="164">
        <f>SUM(J467)</f>
        <v>20361.36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498238.17</v>
      </c>
      <c r="H639" s="104">
        <f>SUM(G460)</f>
        <v>498238.17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498238.17</v>
      </c>
      <c r="H641" s="104">
        <f>SUM(I460)</f>
        <v>498238.17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361.36</v>
      </c>
      <c r="H643" s="104">
        <f>H407</f>
        <v>361.36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20000</v>
      </c>
      <c r="H644" s="104">
        <f>G407</f>
        <v>20000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20361.36</v>
      </c>
      <c r="H645" s="104">
        <f>L407</f>
        <v>20361.36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93771.319999999992</v>
      </c>
      <c r="H646" s="104">
        <f>L207+L225+L243</f>
        <v>93771.32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81350.079999999987</v>
      </c>
      <c r="H647" s="104">
        <f>(J256+J337)-(J254+J335)</f>
        <v>81350.080000000002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45779.42</v>
      </c>
      <c r="H648" s="104">
        <f>H597</f>
        <v>45779.42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47991.9</v>
      </c>
      <c r="H650" s="104">
        <f>J597</f>
        <v>47991.9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8000</v>
      </c>
      <c r="H651" s="104">
        <f>K262+K344</f>
        <v>8000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20000</v>
      </c>
      <c r="H654" s="104">
        <f>K265+K346</f>
        <v>20000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1665642.9200000002</v>
      </c>
      <c r="G659" s="19">
        <f>(L228+L308+L358)</f>
        <v>0</v>
      </c>
      <c r="H659" s="19">
        <f>(L246+L327+L359)</f>
        <v>1036626.8299999997</v>
      </c>
      <c r="I659" s="19">
        <f>SUM(F659:H659)</f>
        <v>2702269.75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16703.213643218256</v>
      </c>
      <c r="G660" s="19">
        <f>(L358/IF(SUM(L357:L359)=0,1,SUM(L357:L359))*(SUM(G96:G109)))</f>
        <v>0</v>
      </c>
      <c r="H660" s="19">
        <f>(L359/IF(SUM(L357:L359)=0,1,SUM(L357:L359))*(SUM(G96:G109)))</f>
        <v>10032.886356781739</v>
      </c>
      <c r="I660" s="19">
        <f>SUM(F660:H660)</f>
        <v>26736.099999999995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45779.42</v>
      </c>
      <c r="G661" s="19">
        <f>(L225+L305)-(J225+J305)</f>
        <v>0</v>
      </c>
      <c r="H661" s="19">
        <f>(L243+L324)-(J243+J324)</f>
        <v>47991.9</v>
      </c>
      <c r="I661" s="19">
        <f>SUM(F661:H661)</f>
        <v>93771.32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65845.009999999995</v>
      </c>
      <c r="G662" s="199">
        <f>SUM(G574:G586)+SUM(I601:I603)+L611</f>
        <v>0</v>
      </c>
      <c r="H662" s="199">
        <f>SUM(H574:H586)+SUM(J601:J603)+L612</f>
        <v>15505.07</v>
      </c>
      <c r="I662" s="19">
        <f>SUM(F662:H662)</f>
        <v>81350.079999999987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1537315.2763567818</v>
      </c>
      <c r="G663" s="19">
        <f>G659-SUM(G660:G662)</f>
        <v>0</v>
      </c>
      <c r="H663" s="19">
        <f>H659-SUM(H660:H662)</f>
        <v>963096.97364321793</v>
      </c>
      <c r="I663" s="19">
        <f>I659-SUM(I660:I662)</f>
        <v>2500412.25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63.94</v>
      </c>
      <c r="G664" s="248"/>
      <c r="H664" s="248">
        <v>38.15</v>
      </c>
      <c r="I664" s="19">
        <f>SUM(F664:H664)</f>
        <v>102.09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24043.09</v>
      </c>
      <c r="G666" s="19" t="e">
        <f>ROUND(G663/G664,2)</f>
        <v>#DIV/0!</v>
      </c>
      <c r="H666" s="19">
        <f>ROUND(H663/H664,2)</f>
        <v>25245.01</v>
      </c>
      <c r="I666" s="19">
        <f>ROUND(I663/I664,2)</f>
        <v>24492.23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24043.09</v>
      </c>
      <c r="G671" s="19" t="e">
        <f>ROUND((G663+G668)/(G664+G669),2)</f>
        <v>#DIV/0!</v>
      </c>
      <c r="H671" s="19">
        <f>ROUND((H663+H668)/(H664+H669),2)</f>
        <v>25245.01</v>
      </c>
      <c r="I671" s="19">
        <f>ROUND((I663+I668)/(I664+I669),2)</f>
        <v>24492.23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45" zoomScaleNormal="145"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PITTSBURG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834718.1399999999</v>
      </c>
      <c r="C9" s="229">
        <f>'DOE25'!G196+'DOE25'!G214+'DOE25'!G232+'DOE25'!G275+'DOE25'!G294+'DOE25'!G313</f>
        <v>415272.93</v>
      </c>
    </row>
    <row r="10" spans="1:3" x14ac:dyDescent="0.2">
      <c r="A10" t="s">
        <v>779</v>
      </c>
      <c r="B10" s="240">
        <f>805795.08+10021.1</f>
        <v>815816.17999999993</v>
      </c>
      <c r="C10" s="240">
        <v>423425.34</v>
      </c>
    </row>
    <row r="11" spans="1:3" x14ac:dyDescent="0.2">
      <c r="A11" t="s">
        <v>780</v>
      </c>
      <c r="B11" s="240">
        <f>2972.96</f>
        <v>2972.96</v>
      </c>
      <c r="C11" s="240">
        <v>228.63</v>
      </c>
    </row>
    <row r="12" spans="1:3" x14ac:dyDescent="0.2">
      <c r="A12" t="s">
        <v>781</v>
      </c>
      <c r="B12" s="240">
        <v>15929</v>
      </c>
      <c r="C12" s="240">
        <v>1223.04</v>
      </c>
    </row>
    <row r="13" spans="1:3" x14ac:dyDescent="0.2">
      <c r="A13" t="str">
        <f>IF(B9=B13,IF(C9=C13,"Check Total OK","Check Total Error"),"Check Total Error")</f>
        <v>Check Total Error</v>
      </c>
      <c r="B13" s="231">
        <f>SUM(B10:B12)</f>
        <v>834718.1399999999</v>
      </c>
      <c r="C13" s="231">
        <f>SUM(C10:C12)</f>
        <v>424877.01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125936.36</v>
      </c>
      <c r="C18" s="229">
        <f>'DOE25'!G197+'DOE25'!G215+'DOE25'!G233+'DOE25'!G276+'DOE25'!G295+'DOE25'!G314</f>
        <v>44502.090000000004</v>
      </c>
    </row>
    <row r="19" spans="1:3" x14ac:dyDescent="0.2">
      <c r="A19" t="s">
        <v>779</v>
      </c>
      <c r="B19" s="240">
        <f>45676+2449.75+39868.94</f>
        <v>87994.69</v>
      </c>
      <c r="C19" s="240">
        <v>41588.339999999997</v>
      </c>
    </row>
    <row r="20" spans="1:3" x14ac:dyDescent="0.2">
      <c r="A20" t="s">
        <v>780</v>
      </c>
      <c r="B20" s="240">
        <f>37941.67</f>
        <v>37941.67</v>
      </c>
      <c r="C20" s="240">
        <v>2913.75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125936.36</v>
      </c>
      <c r="C22" s="231">
        <f>SUM(C19:C21)</f>
        <v>44502.09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26261.789999999997</v>
      </c>
      <c r="C36" s="235">
        <f>'DOE25'!G199+'DOE25'!G217+'DOE25'!G235+'DOE25'!G278+'DOE25'!G297+'DOE25'!G316</f>
        <v>2956.96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26261.79</v>
      </c>
      <c r="C39" s="240">
        <v>2956.96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26261.79</v>
      </c>
      <c r="C40" s="231">
        <f>SUM(C37:C39)</f>
        <v>2956.96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5" activePane="bottomLeft" state="frozen"/>
      <selection pane="bottomLeft" activeCell="E44" sqref="E4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PITTSBURG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1481691.77</v>
      </c>
      <c r="D5" s="20">
        <f>SUM('DOE25'!L196:L199)+SUM('DOE25'!L214:L217)+SUM('DOE25'!L232:L235)-F5-G5</f>
        <v>1464525.31</v>
      </c>
      <c r="E5" s="243"/>
      <c r="F5" s="255">
        <f>SUM('DOE25'!J196:J199)+SUM('DOE25'!J214:J217)+SUM('DOE25'!J232:J235)</f>
        <v>11685.960000000001</v>
      </c>
      <c r="G5" s="53">
        <f>SUM('DOE25'!K196:K199)+SUM('DOE25'!K214:K217)+SUM('DOE25'!K232:K235)</f>
        <v>5480.5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177812.85</v>
      </c>
      <c r="D6" s="20">
        <f>'DOE25'!L201+'DOE25'!L219+'DOE25'!L237-F6-G6</f>
        <v>166752.94</v>
      </c>
      <c r="E6" s="243"/>
      <c r="F6" s="255">
        <f>'DOE25'!J201+'DOE25'!J219+'DOE25'!J237</f>
        <v>9187.93</v>
      </c>
      <c r="G6" s="53">
        <f>'DOE25'!K201+'DOE25'!K219+'DOE25'!K237</f>
        <v>1871.98</v>
      </c>
      <c r="H6" s="259"/>
    </row>
    <row r="7" spans="1:9" x14ac:dyDescent="0.2">
      <c r="A7" s="32">
        <v>2200</v>
      </c>
      <c r="B7" t="s">
        <v>834</v>
      </c>
      <c r="C7" s="245">
        <f t="shared" si="0"/>
        <v>78805.66</v>
      </c>
      <c r="D7" s="20">
        <f>'DOE25'!L202+'DOE25'!L220+'DOE25'!L238-F7-G7</f>
        <v>74130.12000000001</v>
      </c>
      <c r="E7" s="243"/>
      <c r="F7" s="255">
        <f>'DOE25'!J202+'DOE25'!J220+'DOE25'!J238</f>
        <v>432.14</v>
      </c>
      <c r="G7" s="53">
        <f>'DOE25'!K202+'DOE25'!K220+'DOE25'!K238</f>
        <v>4243.3999999999996</v>
      </c>
      <c r="H7" s="259"/>
    </row>
    <row r="8" spans="1:9" x14ac:dyDescent="0.2">
      <c r="A8" s="32">
        <v>2300</v>
      </c>
      <c r="B8" t="s">
        <v>802</v>
      </c>
      <c r="C8" s="245">
        <f t="shared" si="0"/>
        <v>130987.45999999999</v>
      </c>
      <c r="D8" s="243"/>
      <c r="E8" s="20">
        <f>'DOE25'!L203+'DOE25'!L221+'DOE25'!L239-F8-G8-D9-D11</f>
        <v>127267.48999999999</v>
      </c>
      <c r="F8" s="255">
        <f>'DOE25'!J203+'DOE25'!J221+'DOE25'!J239</f>
        <v>0</v>
      </c>
      <c r="G8" s="53">
        <f>'DOE25'!K203+'DOE25'!K221+'DOE25'!K239</f>
        <v>3719.97</v>
      </c>
      <c r="H8" s="259"/>
    </row>
    <row r="9" spans="1:9" x14ac:dyDescent="0.2">
      <c r="A9" s="32">
        <v>2310</v>
      </c>
      <c r="B9" t="s">
        <v>818</v>
      </c>
      <c r="C9" s="245">
        <f t="shared" si="0"/>
        <v>35005.58</v>
      </c>
      <c r="D9" s="244">
        <v>35005.58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6900</v>
      </c>
      <c r="D10" s="243"/>
      <c r="E10" s="244">
        <v>6900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57984</v>
      </c>
      <c r="D11" s="244">
        <v>57984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153268.04999999999</v>
      </c>
      <c r="D12" s="20">
        <f>'DOE25'!L204+'DOE25'!L222+'DOE25'!L240-F12-G12</f>
        <v>150207.67999999999</v>
      </c>
      <c r="E12" s="243"/>
      <c r="F12" s="255">
        <f>'DOE25'!J204+'DOE25'!J222+'DOE25'!J240</f>
        <v>1618.38</v>
      </c>
      <c r="G12" s="53">
        <f>'DOE25'!K204+'DOE25'!K222+'DOE25'!K240</f>
        <v>1441.99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276646.11</v>
      </c>
      <c r="D14" s="20">
        <f>'DOE25'!L206+'DOE25'!L224+'DOE25'!L242-F14-G14</f>
        <v>274039.11</v>
      </c>
      <c r="E14" s="243"/>
      <c r="F14" s="255">
        <f>'DOE25'!J206+'DOE25'!J224+'DOE25'!J242</f>
        <v>2409</v>
      </c>
      <c r="G14" s="53">
        <f>'DOE25'!K206+'DOE25'!K224+'DOE25'!K242</f>
        <v>198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93771.32</v>
      </c>
      <c r="D15" s="20">
        <f>'DOE25'!L207+'DOE25'!L225+'DOE25'!L243-F15-G15</f>
        <v>92598.170000000013</v>
      </c>
      <c r="E15" s="243"/>
      <c r="F15" s="255">
        <f>'DOE25'!J207+'DOE25'!J225+'DOE25'!J243</f>
        <v>0</v>
      </c>
      <c r="G15" s="53">
        <f>'DOE25'!K207+'DOE25'!K225+'DOE25'!K243</f>
        <v>1173.1500000000001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5565.95</v>
      </c>
      <c r="D16" s="243"/>
      <c r="E16" s="20">
        <f>'DOE25'!L208+'DOE25'!L226+'DOE25'!L244-F16-G16</f>
        <v>5565.95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225725</v>
      </c>
      <c r="D25" s="243"/>
      <c r="E25" s="243"/>
      <c r="F25" s="258"/>
      <c r="G25" s="256"/>
      <c r="H25" s="257">
        <f>'DOE25'!L259+'DOE25'!L260+'DOE25'!L340+'DOE25'!L341</f>
        <v>225725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57638.600000000006</v>
      </c>
      <c r="D29" s="20">
        <f>'DOE25'!L357+'DOE25'!L358+'DOE25'!L359-'DOE25'!I366-F29-G29</f>
        <v>57638.600000000006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153092.40000000002</v>
      </c>
      <c r="D31" s="20">
        <f>'DOE25'!L289+'DOE25'!L308+'DOE25'!L327+'DOE25'!L332+'DOE25'!L333+'DOE25'!L334-F31-G31</f>
        <v>96655.730000000025</v>
      </c>
      <c r="E31" s="243"/>
      <c r="F31" s="255">
        <f>'DOE25'!J289+'DOE25'!J308+'DOE25'!J327+'DOE25'!J332+'DOE25'!J333+'DOE25'!J334</f>
        <v>56016.67</v>
      </c>
      <c r="G31" s="53">
        <f>'DOE25'!K289+'DOE25'!K308+'DOE25'!K327+'DOE25'!K332+'DOE25'!K333+'DOE25'!K334</f>
        <v>420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2469537.2400000002</v>
      </c>
      <c r="E33" s="246">
        <f>SUM(E5:E31)</f>
        <v>139733.44</v>
      </c>
      <c r="F33" s="246">
        <f>SUM(F5:F31)</f>
        <v>81350.080000000002</v>
      </c>
      <c r="G33" s="246">
        <f>SUM(G5:G31)</f>
        <v>18548.990000000002</v>
      </c>
      <c r="H33" s="246">
        <f>SUM(H5:H31)</f>
        <v>225725</v>
      </c>
    </row>
    <row r="35" spans="2:8" ht="12" thickBot="1" x14ac:dyDescent="0.25">
      <c r="B35" s="253" t="s">
        <v>847</v>
      </c>
      <c r="D35" s="254">
        <f>E33</f>
        <v>139733.44</v>
      </c>
      <c r="E35" s="249"/>
    </row>
    <row r="36" spans="2:8" ht="12" thickTop="1" x14ac:dyDescent="0.2">
      <c r="B36" t="s">
        <v>815</v>
      </c>
      <c r="D36" s="20">
        <f>D33</f>
        <v>2469537.2400000002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PITTSBURG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234708.32</v>
      </c>
      <c r="D8" s="95">
        <f>'DOE25'!G9</f>
        <v>1011.09</v>
      </c>
      <c r="E8" s="95">
        <f>'DOE25'!H9</f>
        <v>0</v>
      </c>
      <c r="F8" s="95">
        <f>'DOE25'!I9</f>
        <v>0</v>
      </c>
      <c r="G8" s="95">
        <f>'DOE25'!J9</f>
        <v>498238.17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23200.14</v>
      </c>
      <c r="D11" s="95">
        <f>'DOE25'!G12</f>
        <v>6409.15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15272.19</v>
      </c>
      <c r="D12" s="95">
        <f>'DOE25'!G13</f>
        <v>4294.6499999999996</v>
      </c>
      <c r="E12" s="95">
        <f>'DOE25'!H13</f>
        <v>32443.56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1356.68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273180.65000000002</v>
      </c>
      <c r="D18" s="41">
        <f>SUM(D8:D17)</f>
        <v>13071.57</v>
      </c>
      <c r="E18" s="41">
        <f>SUM(E8:E17)</f>
        <v>32443.56</v>
      </c>
      <c r="F18" s="41">
        <f>SUM(F8:F17)</f>
        <v>0</v>
      </c>
      <c r="G18" s="41">
        <f>SUM(G8:G17)</f>
        <v>498238.17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29609.29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39157.550000000003</v>
      </c>
      <c r="D23" s="95">
        <f>'DOE25'!G24</f>
        <v>425.71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4665.9399999999996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2339.88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2834.27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46163.37</v>
      </c>
      <c r="D31" s="41">
        <f>SUM(D21:D30)</f>
        <v>425.71</v>
      </c>
      <c r="E31" s="41">
        <f>SUM(E21:E30)</f>
        <v>32443.56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1356.68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11289.18</v>
      </c>
      <c r="E46" s="95">
        <f>'DOE25'!H47</f>
        <v>0</v>
      </c>
      <c r="F46" s="95">
        <f>'DOE25'!I47</f>
        <v>0</v>
      </c>
      <c r="G46" s="95">
        <f>'DOE25'!J47</f>
        <v>498238.17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227017.28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227017.28</v>
      </c>
      <c r="D49" s="41">
        <f>SUM(D34:D48)</f>
        <v>12645.86</v>
      </c>
      <c r="E49" s="41">
        <f>SUM(E34:E48)</f>
        <v>0</v>
      </c>
      <c r="F49" s="41">
        <f>SUM(F34:F48)</f>
        <v>0</v>
      </c>
      <c r="G49" s="41">
        <f>SUM(G34:G48)</f>
        <v>498238.17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273180.65000000002</v>
      </c>
      <c r="D50" s="41">
        <f>D49+D31</f>
        <v>13071.57</v>
      </c>
      <c r="E50" s="41">
        <f>E49+E31</f>
        <v>32443.56</v>
      </c>
      <c r="F50" s="41">
        <f>F49+F31</f>
        <v>0</v>
      </c>
      <c r="G50" s="41">
        <f>G49+G31</f>
        <v>498238.17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1610557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311814.40000000002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124.05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361.36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26736.1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50889.66</v>
      </c>
      <c r="D60" s="95">
        <f>SUM('DOE25'!G97:G109)</f>
        <v>0</v>
      </c>
      <c r="E60" s="95">
        <f>SUM('DOE25'!H97:H109)</f>
        <v>54776.32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362828.11</v>
      </c>
      <c r="D61" s="130">
        <f>SUM(D56:D60)</f>
        <v>26736.1</v>
      </c>
      <c r="E61" s="130">
        <f>SUM(E56:E60)</f>
        <v>54776.32</v>
      </c>
      <c r="F61" s="130">
        <f>SUM(F56:F60)</f>
        <v>0</v>
      </c>
      <c r="G61" s="130">
        <f>SUM(G56:G60)</f>
        <v>361.36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1973385.1099999999</v>
      </c>
      <c r="D62" s="22">
        <f>D55+D61</f>
        <v>26736.1</v>
      </c>
      <c r="E62" s="22">
        <f>E55+E61</f>
        <v>54776.32</v>
      </c>
      <c r="F62" s="22">
        <f>F55+F61</f>
        <v>0</v>
      </c>
      <c r="G62" s="22">
        <f>G55+G61</f>
        <v>361.36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35370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631746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667116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85234.03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4299.04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101.58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89533.069999999992</v>
      </c>
      <c r="D77" s="130">
        <f>SUM(D71:D76)</f>
        <v>101.58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756649.07</v>
      </c>
      <c r="D80" s="130">
        <f>SUM(D78:D79)+D77+D69</f>
        <v>101.58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21153.200000000001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1750.14</v>
      </c>
      <c r="D87" s="95">
        <f>SUM('DOE25'!G152:G160)</f>
        <v>21718.82</v>
      </c>
      <c r="E87" s="95">
        <f>SUM('DOE25'!H152:H160)</f>
        <v>77162.880000000005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1750.14</v>
      </c>
      <c r="D90" s="131">
        <f>SUM(D84:D89)</f>
        <v>21718.82</v>
      </c>
      <c r="E90" s="131">
        <f>SUM(E84:E89)</f>
        <v>98316.08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8000</v>
      </c>
      <c r="E95" s="95">
        <f>'DOE25'!H178</f>
        <v>0</v>
      </c>
      <c r="F95" s="95">
        <f>'DOE25'!I178</f>
        <v>0</v>
      </c>
      <c r="G95" s="95">
        <f>'DOE25'!J178</f>
        <v>20000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8000</v>
      </c>
      <c r="E102" s="86">
        <f>SUM(E92:E101)</f>
        <v>0</v>
      </c>
      <c r="F102" s="86">
        <f>SUM(F92:F101)</f>
        <v>0</v>
      </c>
      <c r="G102" s="86">
        <f>SUM(G92:G101)</f>
        <v>20000</v>
      </c>
    </row>
    <row r="103" spans="1:7" ht="12.75" thickTop="1" thickBot="1" x14ac:dyDescent="0.25">
      <c r="A103" s="33" t="s">
        <v>765</v>
      </c>
      <c r="C103" s="86">
        <f>C62+C80+C90+C102</f>
        <v>2731784.32</v>
      </c>
      <c r="D103" s="86">
        <f>D62+D80+D90+D102</f>
        <v>56556.5</v>
      </c>
      <c r="E103" s="86">
        <f>E62+E80+E90+E102</f>
        <v>153092.4</v>
      </c>
      <c r="F103" s="86">
        <f>F62+F80+F90+F102</f>
        <v>0</v>
      </c>
      <c r="G103" s="86">
        <f>G62+G80+G102</f>
        <v>20361.36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1292586.1599999999</v>
      </c>
      <c r="D108" s="24" t="s">
        <v>289</v>
      </c>
      <c r="E108" s="95">
        <f>('DOE25'!L275)+('DOE25'!L294)+('DOE25'!L313)</f>
        <v>54776.32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123276.59999999999</v>
      </c>
      <c r="D109" s="24" t="s">
        <v>289</v>
      </c>
      <c r="E109" s="95">
        <f>('DOE25'!L276)+('DOE25'!L295)+('DOE25'!L314)</f>
        <v>58826.060000000005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65829.009999999995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1481691.77</v>
      </c>
      <c r="D114" s="86">
        <f>SUM(D108:D113)</f>
        <v>0</v>
      </c>
      <c r="E114" s="86">
        <f>SUM(E108:E113)</f>
        <v>113602.38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177812.85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78805.66</v>
      </c>
      <c r="D118" s="24" t="s">
        <v>289</v>
      </c>
      <c r="E118" s="95">
        <f>+('DOE25'!L281)+('DOE25'!L300)+('DOE25'!L319)</f>
        <v>39070.020000000004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223977.03999999998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153268.04999999999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420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276646.11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93771.32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5565.95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57638.600000000006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1009846.98</v>
      </c>
      <c r="D127" s="86">
        <f>SUM(D117:D126)</f>
        <v>57638.600000000006</v>
      </c>
      <c r="E127" s="86">
        <f>SUM(E117:E126)</f>
        <v>39490.020000000004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200000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25725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8000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20361.36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-361.36000000000058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253725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2745263.75</v>
      </c>
      <c r="D144" s="86">
        <f>(D114+D127+D143)</f>
        <v>57638.600000000006</v>
      </c>
      <c r="E144" s="86">
        <f>(E114+E127+E143)</f>
        <v>153092.40000000002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 t="str">
        <f>'DOE25'!G489</f>
        <v xml:space="preserve"> 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July 1999</v>
      </c>
      <c r="C151" s="152" t="str">
        <f>'DOE25'!G490</f>
        <v xml:space="preserve"> 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August 2014</v>
      </c>
      <c r="C152" s="152" t="str">
        <f>'DOE25'!G491</f>
        <v xml:space="preserve"> 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3010000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5.25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590000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590000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200000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200000</v>
      </c>
    </row>
    <row r="158" spans="1:9" x14ac:dyDescent="0.2">
      <c r="A158" s="22" t="s">
        <v>35</v>
      </c>
      <c r="B158" s="137">
        <f>'DOE25'!F497</f>
        <v>390000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390000</v>
      </c>
    </row>
    <row r="159" spans="1:9" x14ac:dyDescent="0.2">
      <c r="A159" s="22" t="s">
        <v>36</v>
      </c>
      <c r="B159" s="137">
        <f>'DOE25'!F498</f>
        <v>20475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20475</v>
      </c>
    </row>
    <row r="160" spans="1:9" x14ac:dyDescent="0.2">
      <c r="A160" s="22" t="s">
        <v>37</v>
      </c>
      <c r="B160" s="137">
        <f>'DOE25'!F499</f>
        <v>410475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410475</v>
      </c>
    </row>
    <row r="161" spans="1:7" x14ac:dyDescent="0.2">
      <c r="A161" s="22" t="s">
        <v>38</v>
      </c>
      <c r="B161" s="137">
        <f>'DOE25'!F500</f>
        <v>195000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195000</v>
      </c>
    </row>
    <row r="162" spans="1:7" x14ac:dyDescent="0.2">
      <c r="A162" s="22" t="s">
        <v>39</v>
      </c>
      <c r="B162" s="137">
        <f>'DOE25'!F501</f>
        <v>15356.25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15356.25</v>
      </c>
    </row>
    <row r="163" spans="1:7" x14ac:dyDescent="0.2">
      <c r="A163" s="22" t="s">
        <v>246</v>
      </c>
      <c r="B163" s="137">
        <f>'DOE25'!F502</f>
        <v>210356.25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210356.25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PITTSBURG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24043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25245</v>
      </c>
    </row>
    <row r="7" spans="1:4" x14ac:dyDescent="0.2">
      <c r="B7" t="s">
        <v>705</v>
      </c>
      <c r="C7" s="179">
        <f>IF('DOE25'!I664+'DOE25'!I669=0,0,ROUND('DOE25'!I671,0))</f>
        <v>24492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1347362</v>
      </c>
      <c r="D10" s="182">
        <f>ROUND((C10/$C$28)*100,1)</f>
        <v>49.9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182103</v>
      </c>
      <c r="D11" s="182">
        <f>ROUND((C11/$C$28)*100,1)</f>
        <v>6.7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65829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177813</v>
      </c>
      <c r="D15" s="182">
        <f t="shared" ref="D15:D27" si="0">ROUND((C15/$C$28)*100,1)</f>
        <v>6.6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117876</v>
      </c>
      <c r="D16" s="182">
        <f t="shared" si="0"/>
        <v>4.4000000000000004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229543</v>
      </c>
      <c r="D17" s="182">
        <f t="shared" si="0"/>
        <v>8.5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153268</v>
      </c>
      <c r="D18" s="182">
        <f t="shared" si="0"/>
        <v>5.7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420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276646</v>
      </c>
      <c r="D20" s="182">
        <f t="shared" si="0"/>
        <v>10.199999999999999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93771</v>
      </c>
      <c r="D21" s="182">
        <f t="shared" si="0"/>
        <v>3.5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25725</v>
      </c>
      <c r="D25" s="182">
        <f t="shared" si="0"/>
        <v>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30902.9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2701258.9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2701258.9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200000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1610557</v>
      </c>
      <c r="D35" s="182">
        <f t="shared" ref="D35:D40" si="1">ROUND((C35/$C$41)*100,1)</f>
        <v>55.4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417965.79000000004</v>
      </c>
      <c r="D36" s="182">
        <f t="shared" si="1"/>
        <v>14.4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667116</v>
      </c>
      <c r="D37" s="182">
        <f t="shared" si="1"/>
        <v>22.9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89635</v>
      </c>
      <c r="D38" s="182">
        <f t="shared" si="1"/>
        <v>3.1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121785</v>
      </c>
      <c r="D39" s="182">
        <f t="shared" si="1"/>
        <v>4.2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2907058.79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PITTSBURG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2013-10-11T14:41:16Z</cp:lastPrinted>
  <dcterms:created xsi:type="dcterms:W3CDTF">1997-12-04T19:04:30Z</dcterms:created>
  <dcterms:modified xsi:type="dcterms:W3CDTF">2013-11-14T17:15:08Z</dcterms:modified>
</cp:coreProperties>
</file>