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81" i="1" l="1"/>
  <c r="H525" i="1"/>
  <c r="F56" i="1"/>
  <c r="K520" i="1" l="1"/>
  <c r="J520" i="1"/>
  <c r="I520" i="1"/>
  <c r="H520" i="1"/>
  <c r="G520" i="1"/>
  <c r="F520" i="1"/>
  <c r="H501" i="1"/>
  <c r="H498" i="1"/>
  <c r="H500" i="1"/>
  <c r="H496" i="1"/>
  <c r="G498" i="1"/>
  <c r="G501" i="1"/>
  <c r="G494" i="1"/>
  <c r="I196" i="1"/>
  <c r="I206" i="1"/>
  <c r="H204" i="1"/>
  <c r="H203" i="1"/>
  <c r="I202" i="1"/>
  <c r="H201" i="1"/>
  <c r="I199" i="1"/>
  <c r="H197" i="1"/>
  <c r="H207" i="1"/>
  <c r="G458" i="1"/>
  <c r="F49" i="1"/>
  <c r="F24" i="1"/>
  <c r="H206" i="1"/>
  <c r="I204" i="1"/>
  <c r="I203" i="1"/>
  <c r="I201" i="1"/>
  <c r="I197" i="1"/>
  <c r="H196" i="1"/>
  <c r="H590" i="1" l="1"/>
  <c r="F9" i="1"/>
  <c r="F109" i="1"/>
  <c r="F197" i="1" l="1"/>
  <c r="G204" i="1"/>
  <c r="H202" i="1"/>
  <c r="D9" i="13" l="1"/>
  <c r="C39" i="12"/>
  <c r="C21" i="12"/>
  <c r="C20" i="12"/>
  <c r="C19" i="12"/>
  <c r="B21" i="12"/>
  <c r="B20" i="12"/>
  <c r="B19" i="12"/>
  <c r="C12" i="12"/>
  <c r="C11" i="12"/>
  <c r="C10" i="12"/>
  <c r="B12" i="12"/>
  <c r="B11" i="12"/>
  <c r="H497" i="1"/>
  <c r="G497" i="1"/>
  <c r="F497" i="1"/>
  <c r="F579" i="1"/>
  <c r="H574" i="1"/>
  <c r="H603" i="1"/>
  <c r="H594" i="1"/>
  <c r="H593" i="1"/>
  <c r="H591" i="1"/>
  <c r="J95" i="1"/>
  <c r="H22" i="1"/>
  <c r="F464" i="1"/>
  <c r="I471" i="1"/>
  <c r="I467" i="1"/>
  <c r="G471" i="1"/>
  <c r="H378" i="1"/>
  <c r="J276" i="1"/>
  <c r="I276" i="1"/>
  <c r="F276" i="1"/>
  <c r="H276" i="1"/>
  <c r="F275" i="1"/>
  <c r="I357" i="1"/>
  <c r="H357" i="1"/>
  <c r="G357" i="1"/>
  <c r="F357" i="1"/>
  <c r="F367" i="1"/>
  <c r="K262" i="1"/>
  <c r="K259" i="1"/>
  <c r="G206" i="1"/>
  <c r="F206" i="1"/>
  <c r="F204" i="1"/>
  <c r="K203" i="1"/>
  <c r="J203" i="1"/>
  <c r="G203" i="1"/>
  <c r="F203" i="1"/>
  <c r="J202" i="1"/>
  <c r="G202" i="1"/>
  <c r="F202" i="1"/>
  <c r="G201" i="1"/>
  <c r="F201" i="1"/>
  <c r="H199" i="1"/>
  <c r="G199" i="1"/>
  <c r="F199" i="1"/>
  <c r="G197" i="1"/>
  <c r="H232" i="1"/>
  <c r="K196" i="1"/>
  <c r="G196" i="1"/>
  <c r="F196" i="1"/>
  <c r="H158" i="1"/>
  <c r="H149" i="1"/>
  <c r="F95" i="1"/>
  <c r="J464" i="1"/>
  <c r="G439" i="1"/>
  <c r="F439" i="1"/>
  <c r="H388" i="1"/>
  <c r="H13" i="1" l="1"/>
  <c r="F29" i="1"/>
  <c r="F10" i="1"/>
  <c r="C37" i="10" l="1"/>
  <c r="F40" i="2" l="1"/>
  <c r="G654" i="1"/>
  <c r="F47" i="2"/>
  <c r="E47" i="2"/>
  <c r="D47" i="2"/>
  <c r="C47" i="2"/>
  <c r="F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C108" i="2" s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D6" i="13" s="1"/>
  <c r="C6" i="13" s="1"/>
  <c r="L219" i="1"/>
  <c r="L237" i="1"/>
  <c r="F7" i="13"/>
  <c r="G7" i="13"/>
  <c r="L202" i="1"/>
  <c r="L220" i="1"/>
  <c r="L238" i="1"/>
  <c r="F12" i="13"/>
  <c r="G12" i="13"/>
  <c r="L204" i="1"/>
  <c r="C18" i="10" s="1"/>
  <c r="L222" i="1"/>
  <c r="L240" i="1"/>
  <c r="F14" i="13"/>
  <c r="G14" i="13"/>
  <c r="L206" i="1"/>
  <c r="C20" i="10" s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E108" i="2" s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400" i="1" s="1"/>
  <c r="C138" i="2" s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H168" i="1" s="1"/>
  <c r="I146" i="1"/>
  <c r="I161" i="1"/>
  <c r="C10" i="10"/>
  <c r="C11" i="10"/>
  <c r="C12" i="10"/>
  <c r="C13" i="10"/>
  <c r="C15" i="10"/>
  <c r="C16" i="10"/>
  <c r="C17" i="10"/>
  <c r="C19" i="10"/>
  <c r="L249" i="1"/>
  <c r="L331" i="1"/>
  <c r="C23" i="10" s="1"/>
  <c r="L253" i="1"/>
  <c r="C25" i="10"/>
  <c r="L267" i="1"/>
  <c r="L268" i="1"/>
  <c r="L348" i="1"/>
  <c r="L349" i="1"/>
  <c r="I664" i="1"/>
  <c r="I669" i="1"/>
  <c r="L246" i="1"/>
  <c r="F660" i="1"/>
  <c r="G660" i="1"/>
  <c r="H660" i="1"/>
  <c r="F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9" i="2" s="1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9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C117" i="2"/>
  <c r="E117" i="2"/>
  <c r="C118" i="2"/>
  <c r="E118" i="2"/>
  <c r="E119" i="2"/>
  <c r="E120" i="2"/>
  <c r="C121" i="2"/>
  <c r="E121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G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G256" i="1" s="1"/>
  <c r="G270" i="1" s="1"/>
  <c r="H210" i="1"/>
  <c r="I210" i="1"/>
  <c r="I256" i="1" s="1"/>
  <c r="I270" i="1" s="1"/>
  <c r="J210" i="1"/>
  <c r="J256" i="1" s="1"/>
  <c r="J270" i="1" s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F337" i="1" s="1"/>
  <c r="F351" i="1" s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J110" i="1" s="1"/>
  <c r="J111" i="1" s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F458" i="1" s="1"/>
  <c r="I458" i="1" s="1"/>
  <c r="G445" i="1"/>
  <c r="G639" i="1" s="1"/>
  <c r="H445" i="1"/>
  <c r="I445" i="1"/>
  <c r="G641" i="1" s="1"/>
  <c r="F451" i="1"/>
  <c r="G451" i="1"/>
  <c r="H451" i="1"/>
  <c r="I451" i="1"/>
  <c r="F459" i="1"/>
  <c r="G459" i="1"/>
  <c r="G460" i="1" s="1"/>
  <c r="H639" i="1" s="1"/>
  <c r="H459" i="1"/>
  <c r="F460" i="1"/>
  <c r="H460" i="1"/>
  <c r="I469" i="1"/>
  <c r="G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K544" i="1" s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8" i="1"/>
  <c r="G619" i="1"/>
  <c r="G624" i="1"/>
  <c r="H629" i="1"/>
  <c r="G633" i="1"/>
  <c r="H633" i="1"/>
  <c r="H634" i="1"/>
  <c r="H635" i="1"/>
  <c r="H637" i="1"/>
  <c r="G638" i="1"/>
  <c r="H638" i="1"/>
  <c r="G640" i="1"/>
  <c r="H640" i="1"/>
  <c r="G642" i="1"/>
  <c r="H642" i="1"/>
  <c r="G643" i="1"/>
  <c r="G644" i="1"/>
  <c r="H644" i="1"/>
  <c r="H646" i="1"/>
  <c r="G648" i="1"/>
  <c r="J648" i="1" s="1"/>
  <c r="G649" i="1"/>
  <c r="G650" i="1"/>
  <c r="G651" i="1"/>
  <c r="H651" i="1"/>
  <c r="G652" i="1"/>
  <c r="H652" i="1"/>
  <c r="G653" i="1"/>
  <c r="H653" i="1"/>
  <c r="H654" i="1"/>
  <c r="J654" i="1" s="1"/>
  <c r="F191" i="1"/>
  <c r="L255" i="1"/>
  <c r="K256" i="1"/>
  <c r="K270" i="1" s="1"/>
  <c r="G159" i="2"/>
  <c r="F31" i="2"/>
  <c r="C26" i="10"/>
  <c r="L327" i="1"/>
  <c r="H659" i="1" s="1"/>
  <c r="H663" i="1" s="1"/>
  <c r="L350" i="1"/>
  <c r="A31" i="12"/>
  <c r="A40" i="12"/>
  <c r="G161" i="2"/>
  <c r="D61" i="2"/>
  <c r="D62" i="2" s="1"/>
  <c r="D18" i="13"/>
  <c r="C18" i="13" s="1"/>
  <c r="D15" i="13"/>
  <c r="C15" i="13" s="1"/>
  <c r="D7" i="13"/>
  <c r="C7" i="13" s="1"/>
  <c r="F102" i="2"/>
  <c r="E18" i="2"/>
  <c r="D17" i="13"/>
  <c r="C17" i="13" s="1"/>
  <c r="G158" i="2"/>
  <c r="C90" i="2"/>
  <c r="G80" i="2"/>
  <c r="F77" i="2"/>
  <c r="F80" i="2" s="1"/>
  <c r="F61" i="2"/>
  <c r="F62" i="2" s="1"/>
  <c r="D31" i="2"/>
  <c r="C77" i="2"/>
  <c r="G156" i="2"/>
  <c r="F49" i="2"/>
  <c r="F50" i="2" s="1"/>
  <c r="F18" i="2"/>
  <c r="G162" i="2"/>
  <c r="G160" i="2"/>
  <c r="G157" i="2"/>
  <c r="E143" i="2"/>
  <c r="G102" i="2"/>
  <c r="E102" i="2"/>
  <c r="C102" i="2"/>
  <c r="D90" i="2"/>
  <c r="F90" i="2"/>
  <c r="E61" i="2"/>
  <c r="E62" i="2" s="1"/>
  <c r="C31" i="2"/>
  <c r="G61" i="2"/>
  <c r="D29" i="13"/>
  <c r="C29" i="13" s="1"/>
  <c r="D19" i="13"/>
  <c r="C19" i="13" s="1"/>
  <c r="D14" i="13"/>
  <c r="C14" i="13" s="1"/>
  <c r="E13" i="13"/>
  <c r="C13" i="13" s="1"/>
  <c r="E77" i="2"/>
  <c r="E80" i="2" s="1"/>
  <c r="L426" i="1"/>
  <c r="H111" i="1"/>
  <c r="J640" i="1"/>
  <c r="J638" i="1"/>
  <c r="K604" i="1"/>
  <c r="G647" i="1" s="1"/>
  <c r="J570" i="1"/>
  <c r="K570" i="1"/>
  <c r="L432" i="1"/>
  <c r="L418" i="1"/>
  <c r="D80" i="2"/>
  <c r="I168" i="1"/>
  <c r="J642" i="1"/>
  <c r="I475" i="1"/>
  <c r="H624" i="1" s="1"/>
  <c r="J624" i="1" s="1"/>
  <c r="G337" i="1"/>
  <c r="G351" i="1" s="1"/>
  <c r="F168" i="1"/>
  <c r="J139" i="1"/>
  <c r="F570" i="1"/>
  <c r="I551" i="1"/>
  <c r="K549" i="1"/>
  <c r="G22" i="2"/>
  <c r="K597" i="1"/>
  <c r="G646" i="1" s="1"/>
  <c r="J551" i="1"/>
  <c r="H551" i="1"/>
  <c r="C29" i="10"/>
  <c r="I660" i="1"/>
  <c r="H139" i="1"/>
  <c r="L392" i="1"/>
  <c r="C137" i="2" s="1"/>
  <c r="A13" i="12"/>
  <c r="F22" i="13"/>
  <c r="H25" i="13"/>
  <c r="C25" i="13" s="1"/>
  <c r="J650" i="1"/>
  <c r="J633" i="1"/>
  <c r="H570" i="1"/>
  <c r="L559" i="1"/>
  <c r="J544" i="1"/>
  <c r="H337" i="1"/>
  <c r="H351" i="1" s="1"/>
  <c r="G191" i="1"/>
  <c r="H191" i="1"/>
  <c r="E127" i="2"/>
  <c r="F551" i="1"/>
  <c r="L308" i="1"/>
  <c r="E16" i="13"/>
  <c r="J644" i="1"/>
  <c r="L569" i="1"/>
  <c r="I570" i="1"/>
  <c r="I544" i="1"/>
  <c r="J635" i="1"/>
  <c r="G36" i="2"/>
  <c r="L564" i="1"/>
  <c r="G544" i="1"/>
  <c r="H544" i="1"/>
  <c r="K550" i="1"/>
  <c r="C22" i="13"/>
  <c r="C16" i="13"/>
  <c r="H33" i="13"/>
  <c r="L528" i="1" l="1"/>
  <c r="L544" i="1" s="1"/>
  <c r="F111" i="1"/>
  <c r="C35" i="10"/>
  <c r="G155" i="2"/>
  <c r="C114" i="2"/>
  <c r="D5" i="13"/>
  <c r="C5" i="13" s="1"/>
  <c r="C21" i="10"/>
  <c r="J646" i="1"/>
  <c r="G661" i="1"/>
  <c r="I661" i="1" s="1"/>
  <c r="L228" i="1"/>
  <c r="H256" i="1"/>
  <c r="H270" i="1" s="1"/>
  <c r="C80" i="2"/>
  <c r="J639" i="1"/>
  <c r="G551" i="1"/>
  <c r="K548" i="1"/>
  <c r="K551" i="1" s="1"/>
  <c r="K502" i="1"/>
  <c r="E114" i="2"/>
  <c r="E144" i="2" s="1"/>
  <c r="L289" i="1"/>
  <c r="C122" i="2"/>
  <c r="D12" i="13"/>
  <c r="C12" i="13" s="1"/>
  <c r="C120" i="2"/>
  <c r="L210" i="1"/>
  <c r="L256" i="1" s="1"/>
  <c r="L270" i="1" s="1"/>
  <c r="E8" i="13"/>
  <c r="C8" i="13" s="1"/>
  <c r="C119" i="2"/>
  <c r="J47" i="1"/>
  <c r="G46" i="2" s="1"/>
  <c r="G49" i="2" s="1"/>
  <c r="G50" i="2" s="1"/>
  <c r="I459" i="1"/>
  <c r="I460" i="1" s="1"/>
  <c r="H641" i="1" s="1"/>
  <c r="H643" i="1"/>
  <c r="J643" i="1" s="1"/>
  <c r="D18" i="2"/>
  <c r="K499" i="1"/>
  <c r="G40" i="1"/>
  <c r="G50" i="1" s="1"/>
  <c r="G51" i="1" s="1"/>
  <c r="H617" i="1" s="1"/>
  <c r="J617" i="1" s="1"/>
  <c r="E31" i="2"/>
  <c r="H47" i="1"/>
  <c r="G616" i="1"/>
  <c r="C61" i="2"/>
  <c r="C62" i="2" s="1"/>
  <c r="C103" i="2" s="1"/>
  <c r="C18" i="2"/>
  <c r="L337" i="1"/>
  <c r="L351" i="1" s="1"/>
  <c r="C24" i="10"/>
  <c r="G659" i="1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L407" i="1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H666" i="1"/>
  <c r="H671" i="1"/>
  <c r="C6" i="10" s="1"/>
  <c r="F31" i="13"/>
  <c r="J192" i="1"/>
  <c r="G645" i="1" s="1"/>
  <c r="F103" i="2"/>
  <c r="H192" i="1"/>
  <c r="G168" i="1"/>
  <c r="C39" i="10" s="1"/>
  <c r="G139" i="1"/>
  <c r="F139" i="1"/>
  <c r="F192" i="1" s="1"/>
  <c r="C36" i="10"/>
  <c r="G62" i="2"/>
  <c r="G103" i="2" s="1"/>
  <c r="G42" i="2"/>
  <c r="G16" i="2"/>
  <c r="J19" i="1"/>
  <c r="G620" i="1" s="1"/>
  <c r="F33" i="13"/>
  <c r="G18" i="2"/>
  <c r="F544" i="1"/>
  <c r="H433" i="1"/>
  <c r="J619" i="1"/>
  <c r="D102" i="2"/>
  <c r="D103" i="2" s="1"/>
  <c r="I139" i="1"/>
  <c r="I192" i="1" s="1"/>
  <c r="G629" i="1" s="1"/>
  <c r="J629" i="1" s="1"/>
  <c r="A22" i="12"/>
  <c r="H647" i="1"/>
  <c r="J647" i="1" s="1"/>
  <c r="J651" i="1"/>
  <c r="J641" i="1"/>
  <c r="G570" i="1"/>
  <c r="I433" i="1"/>
  <c r="G433" i="1"/>
  <c r="E103" i="2"/>
  <c r="I662" i="1"/>
  <c r="C27" i="10"/>
  <c r="G634" i="1"/>
  <c r="J634" i="1" s="1"/>
  <c r="C28" i="10" l="1"/>
  <c r="D24" i="10" s="1"/>
  <c r="G663" i="1"/>
  <c r="G631" i="1"/>
  <c r="F471" i="1"/>
  <c r="G632" i="1"/>
  <c r="H471" i="1"/>
  <c r="G636" i="1"/>
  <c r="J467" i="1"/>
  <c r="D31" i="13"/>
  <c r="C31" i="13" s="1"/>
  <c r="C127" i="2"/>
  <c r="C144" i="2" s="1"/>
  <c r="F659" i="1"/>
  <c r="F663" i="1" s="1"/>
  <c r="E33" i="13"/>
  <c r="D35" i="13" s="1"/>
  <c r="J50" i="1"/>
  <c r="G625" i="1" s="1"/>
  <c r="H645" i="1"/>
  <c r="G628" i="1"/>
  <c r="H467" i="1"/>
  <c r="G626" i="1"/>
  <c r="F467" i="1"/>
  <c r="D39" i="2"/>
  <c r="D49" i="2" s="1"/>
  <c r="D50" i="2" s="1"/>
  <c r="G622" i="1"/>
  <c r="E46" i="2"/>
  <c r="E49" i="2" s="1"/>
  <c r="E50" i="2" s="1"/>
  <c r="H50" i="1"/>
  <c r="C48" i="2"/>
  <c r="C49" i="2" s="1"/>
  <c r="C50" i="2" s="1"/>
  <c r="F50" i="1"/>
  <c r="G630" i="1"/>
  <c r="J645" i="1"/>
  <c r="G192" i="1"/>
  <c r="C38" i="10"/>
  <c r="D23" i="10"/>
  <c r="D10" i="10" l="1"/>
  <c r="C30" i="10"/>
  <c r="D26" i="10"/>
  <c r="D16" i="10"/>
  <c r="D13" i="10"/>
  <c r="D11" i="10"/>
  <c r="D21" i="10"/>
  <c r="D22" i="10"/>
  <c r="D27" i="10"/>
  <c r="D20" i="10"/>
  <c r="D18" i="10"/>
  <c r="D15" i="10"/>
  <c r="D17" i="10"/>
  <c r="D25" i="10"/>
  <c r="D12" i="10"/>
  <c r="D19" i="10"/>
  <c r="G671" i="1"/>
  <c r="C5" i="10" s="1"/>
  <c r="G666" i="1"/>
  <c r="F473" i="1"/>
  <c r="H631" i="1"/>
  <c r="J631" i="1" s="1"/>
  <c r="H473" i="1"/>
  <c r="H632" i="1"/>
  <c r="J632" i="1" s="1"/>
  <c r="J469" i="1"/>
  <c r="J475" i="1" s="1"/>
  <c r="H625" i="1" s="1"/>
  <c r="J625" i="1" s="1"/>
  <c r="H636" i="1"/>
  <c r="J636" i="1" s="1"/>
  <c r="H630" i="1"/>
  <c r="J630" i="1" s="1"/>
  <c r="I659" i="1"/>
  <c r="I663" i="1" s="1"/>
  <c r="I671" i="1" s="1"/>
  <c r="C7" i="10" s="1"/>
  <c r="D33" i="13"/>
  <c r="D36" i="13" s="1"/>
  <c r="F666" i="1"/>
  <c r="F671" i="1"/>
  <c r="C4" i="10" s="1"/>
  <c r="J51" i="1"/>
  <c r="H620" i="1" s="1"/>
  <c r="J620" i="1" s="1"/>
  <c r="H628" i="1"/>
  <c r="J628" i="1" s="1"/>
  <c r="H469" i="1"/>
  <c r="G627" i="1"/>
  <c r="G467" i="1"/>
  <c r="H626" i="1"/>
  <c r="J626" i="1" s="1"/>
  <c r="F469" i="1"/>
  <c r="H51" i="1"/>
  <c r="H618" i="1" s="1"/>
  <c r="J618" i="1" s="1"/>
  <c r="G623" i="1"/>
  <c r="F51" i="1"/>
  <c r="H616" i="1" s="1"/>
  <c r="J616" i="1" s="1"/>
  <c r="G621" i="1"/>
  <c r="C41" i="10"/>
  <c r="D38" i="10" s="1"/>
  <c r="D28" i="10" l="1"/>
  <c r="F475" i="1"/>
  <c r="H621" i="1" s="1"/>
  <c r="J621" i="1" s="1"/>
  <c r="H475" i="1"/>
  <c r="H623" i="1" s="1"/>
  <c r="I666" i="1"/>
  <c r="J623" i="1"/>
  <c r="G469" i="1"/>
  <c r="G475" i="1" s="1"/>
  <c r="H622" i="1" s="1"/>
  <c r="J622" i="1" s="1"/>
  <c r="H627" i="1"/>
  <c r="J627" i="1" s="1"/>
  <c r="D37" i="10"/>
  <c r="D36" i="10"/>
  <c r="D35" i="10"/>
  <c r="D40" i="10"/>
  <c r="D39" i="10"/>
  <c r="H655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<sst xmlns="http://schemas.openxmlformats.org/spreadsheetml/2006/main" count="3992" uniqueCount="918">
  <si>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</si>
  <si>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</si>
  <si>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</si>
  <si>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</si>
  <si>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</si>
  <si>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</si>
  <si>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</si>
  <si>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</si>
  <si>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</si>
  <si>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</si>
  <si>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</si>
  <si>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</si>
  <si>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</si>
  <si>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</si>
  <si>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</si>
  <si>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</si>
  <si>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</si>
  <si>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</si>
  <si>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</si>
  <si>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</si>
  <si>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</si>
  <si>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</si>
  <si>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</si>
  <si>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</si>
  <si>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</si>
  <si>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</si>
  <si>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</si>
  <si>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</si>
  <si>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</si>
  <si>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</si>
  <si>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</si>
  <si>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</si>
  <si>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</si>
  <si>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</si>
  <si>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</si>
  <si>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</si>
  <si>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</si>
  <si>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</si>
  <si>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</si>
  <si>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</si>
  <si>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</si>
  <si>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</si>
  <si>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</si>
  <si>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</si>
  <si>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</si>
  <si>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</si>
  <si>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</si>
  <si>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</si>
  <si>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</si>
  <si>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</si>
  <si>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</si>
  <si>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</si>
  <si>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</si>
  <si>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</si>
  <si>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</si>
  <si>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</si>
  <si>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</si>
  <si>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</si>
  <si>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</si>
  <si>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</si>
  <si>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</si>
  <si>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</si>
  <si>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</si>
  <si>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</si>
  <si>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</si>
  <si>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</si>
  <si>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</si>
  <si>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</si>
  <si>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</si>
  <si>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</si>
  <si>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</si>
  <si>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</si>
  <si>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</si>
  <si>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</si>
  <si>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</si>
  <si>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</si>
  <si>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</si>
  <si>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</si>
  <si>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</si>
  <si>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</si>
  <si>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</si>
  <si>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</si>
  <si>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</si>
  <si>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</si>
  <si>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</si>
  <si>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</si>
  <si>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</si>
  <si>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</si>
  <si>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</si>
  <si>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</si>
  <si>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</si>
  <si>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</si>
  <si>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</si>
  <si>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</si>
  <si>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</si>
  <si>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</si>
  <si>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</si>
  <si>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</si>
  <si>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</si>
  <si>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</si>
  <si>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</si>
  <si>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</si>
  <si>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</si>
  <si>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</si>
  <si>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</si>
  <si>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</si>
  <si>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</si>
  <si>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</si>
  <si>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</si>
  <si>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</si>
  <si>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</si>
  <si>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</si>
  <si>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</si>
  <si>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</si>
  <si>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</si>
  <si>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</si>
  <si>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</si>
  <si>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</si>
  <si>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</si>
  <si>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</si>
  <si>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</si>
  <si>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</si>
  <si>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</si>
  <si>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</si>
  <si>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</si>
  <si>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</si>
  <si>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</si>
  <si>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</si>
  <si>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</si>
  <si>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</si>
  <si>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</si>
  <si>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</si>
  <si>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</si>
  <si>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</si>
  <si>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</si>
  <si>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</si>
  <si>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</si>
  <si>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</si>
  <si>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</si>
  <si>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</si>
  <si>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</si>
  <si>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</si>
  <si>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</si>
  <si>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</si>
  <si>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</si>
  <si>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</si>
  <si>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</si>
  <si>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</si>
  <si>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</si>
  <si>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</si>
  <si>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</si>
  <si>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</si>
  <si>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</si>
  <si>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</si>
  <si>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</si>
  <si>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</si>
  <si>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</si>
  <si>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</si>
  <si>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</si>
  <si>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</si>
  <si>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</si>
  <si>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</si>
  <si>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</si>
  <si>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</si>
  <si>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</si>
  <si>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</si>
  <si>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</si>
  <si>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</si>
  <si>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</si>
  <si>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</si>
  <si>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</si>
  <si>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</si>
  <si>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</si>
  <si>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</si>
  <si>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</si>
  <si>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</si>
  <si>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</si>
  <si>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</si>
  <si>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</si>
  <si>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</si>
  <si>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</si>
  <si>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</si>
  <si>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</si>
  <si>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</si>
  <si>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</si>
  <si>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</si>
  <si>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</si>
  <si>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</si>
  <si>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</si>
  <si>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</si>
  <si>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</si>
  <si>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</si>
  <si>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</si>
  <si>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</si>
  <si>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</si>
  <si>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</si>
  <si>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</si>
  <si>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</si>
  <si>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</si>
  <si>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</si>
  <si>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</si>
  <si>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</si>
  <si>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</si>
  <si>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</si>
  <si>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</si>
  <si>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</si>
  <si>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</si>
  <si>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</si>
  <si>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</si>
  <si>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</si>
  <si>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</si>
  <si>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</si>
  <si>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</si>
  <si>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</si>
  <si>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</si>
  <si>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</si>
  <si>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</si>
  <si>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</si>
  <si>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</si>
  <si>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</si>
  <si>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</si>
  <si>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</si>
  <si>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</si>
  <si>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</si>
  <si>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</si>
  <si>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</si>
  <si>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</si>
  <si>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</si>
  <si>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</si>
  <si>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</si>
  <si>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</si>
  <si>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</si>
  <si>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</si>
  <si>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</si>
  <si>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</si>
  <si>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</si>
  <si>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</si>
  <si>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</si>
  <si>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</si>
  <si>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</si>
  <si>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</si>
  <si>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</si>
  <si>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</si>
  <si>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</si>
  <si>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</si>
  <si>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</si>
  <si>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</si>
  <si>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</si>
  <si>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</si>
  <si>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</si>
  <si>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</si>
  <si>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</si>
  <si>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</si>
  <si>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</si>
  <si>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</si>
  <si>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</si>
  <si>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</si>
  <si>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</si>
  <si>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</si>
  <si>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</si>
  <si>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</si>
  <si>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</si>
  <si>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</si>
  <si>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</si>
  <si>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</si>
  <si>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</si>
  <si>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</si>
  <si>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</si>
  <si>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</si>
  <si>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</si>
  <si>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</si>
  <si>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</si>
  <si>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</si>
  <si>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</si>
  <si>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</si>
  <si>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</si>
  <si>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</si>
  <si>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</si>
  <si>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</si>
  <si>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</si>
  <si>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</si>
  <si>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</si>
  <si>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</si>
  <si>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</si>
  <si>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</si>
  <si>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</si>
  <si>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</si>
  <si>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</si>
  <si>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</si>
  <si>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</si>
  <si>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</si>
  <si>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</si>
  <si>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</si>
  <si>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</si>
  <si>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</si>
  <si>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</si>
  <si>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</si>
  <si>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</si>
  <si>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</si>
  <si>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</si>
  <si>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</si>
  <si>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</si>
  <si>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</si>
  <si>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</si>
  <si>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</si>
  <si>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</si>
  <si>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</si>
  <si>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</si>
  <si>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</si>
  <si>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</si>
  <si>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</si>
  <si>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</si>
  <si>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</si>
  <si>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</si>
  <si>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</si>
  <si>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</si>
  <si>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</si>
  <si>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</si>
  <si>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</si>
  <si>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</si>
  <si>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</si>
  <si>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</si>
  <si>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</si>
  <si>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</si>
  <si>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</si>
  <si>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</si>
  <si>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</si>
  <si>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</si>
  <si>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</si>
  <si>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</si>
  <si>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</si>
  <si>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</si>
  <si>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</si>
  <si>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</si>
  <si>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</si>
  <si>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</si>
  <si>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</si>
  <si>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</si>
  <si>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</si>
  <si>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</si>
  <si>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</si>
  <si>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</si>
  <si>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</si>
  <si>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</si>
  <si>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</si>
  <si>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</si>
  <si>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</si>
  <si>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</si>
  <si>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</si>
  <si>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</si>
  <si>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</si>
  <si>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</si>
  <si>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</si>
  <si>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</si>
  <si>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</si>
  <si>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</si>
  <si>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</si>
  <si>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</si>
  <si>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</si>
  <si>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</si>
  <si>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</si>
  <si>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</si>
  <si>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</si>
  <si>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</si>
  <si>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</si>
  <si>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</si>
  <si>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</si>
  <si>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</si>
  <si>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</si>
  <si>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</si>
  <si>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</si>
  <si>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</si>
  <si>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</si>
  <si>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</si>
  <si>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</si>
  <si>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</si>
  <si>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</si>
  <si>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</si>
  <si>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</si>
  <si>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</si>
  <si>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</si>
  <si>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</si>
  <si>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</si>
  <si>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</si>
  <si>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</si>
  <si>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</si>
  <si>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</si>
  <si>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</si>
  <si>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</si>
  <si>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</si>
  <si>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</si>
  <si>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</si>
  <si>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</si>
  <si>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</si>
  <si>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</si>
  <si>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</si>
  <si>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</si>
  <si>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</si>
  <si>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</si>
  <si>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</si>
  <si>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</si>
  <si>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</si>
  <si>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</si>
  <si>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</si>
  <si>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</si>
  <si>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</si>
  <si>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</si>
  <si>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</si>
  <si>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</si>
  <si>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</si>
  <si>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</si>
  <si>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</si>
  <si>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</si>
  <si>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</si>
  <si>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</si>
  <si>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</si>
  <si>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</si>
  <si>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</si>
  <si>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</si>
  <si>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</si>
  <si>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</si>
  <si>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</si>
  <si>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</si>
  <si>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</si>
  <si>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</si>
  <si>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</si>
  <si>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</si>
  <si>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</si>
  <si>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</si>
  <si>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</si>
  <si>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</si>
  <si>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</si>
  <si>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</si>
  <si>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</si>
  <si>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</si>
  <si>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</si>
  <si>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</si>
  <si>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</si>
  <si>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</si>
  <si>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</si>
  <si>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</si>
  <si>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</si>
  <si>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</si>
  <si>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</si>
  <si>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</si>
  <si>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</si>
  <si>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</si>
  <si>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</si>
  <si>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</si>
  <si>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</si>
  <si>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</si>
  <si>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</si>
  <si>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</si>
  <si>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</si>
  <si>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</si>
  <si>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</si>
  <si>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</si>
  <si>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</si>
  <si>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</si>
  <si>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</si>
  <si>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</si>
  <si>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</si>
  <si>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</si>
  <si>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</si>
  <si>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</si>
  <si>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</si>
  <si>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</si>
  <si>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</si>
  <si>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</si>
  <si>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</si>
  <si>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</si>
  <si>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</si>
  <si>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</si>
  <si>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</si>
  <si>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</si>
  <si>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</si>
  <si>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</si>
  <si>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</si>
  <si>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</si>
  <si>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</si>
  <si>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</si>
  <si>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</si>
  <si>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</si>
  <si>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</si>
  <si>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</si>
  <si>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</si>
  <si>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</si>
  <si>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</si>
  <si>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</si>
  <si>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</si>
  <si>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</si>
  <si>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</si>
  <si>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</si>
  <si>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</si>
  <si>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</si>
  <si>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</si>
  <si>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</si>
  <si>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</si>
  <si>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</si>
  <si>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</si>
  <si>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</si>
  <si>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</si>
  <si>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</si>
  <si>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</si>
  <si>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</si>
  <si>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</si>
  <si>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</si>
  <si>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</si>
  <si>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</si>
  <si>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</si>
  <si>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</si>
  <si>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</si>
  <si>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</si>
  <si>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</si>
  <si>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</si>
  <si>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</si>
  <si>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</si>
  <si>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</si>
  <si>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</si>
  <si>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</si>
  <si>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</si>
  <si>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</si>
  <si>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</si>
  <si>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</si>
  <si>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</si>
  <si>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</si>
  <si>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</si>
  <si>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</si>
  <si>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</si>
  <si>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</si>
  <si>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</si>
  <si>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</si>
  <si>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</si>
  <si>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</si>
  <si>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</si>
  <si>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</si>
  <si>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</si>
  <si>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</si>
  <si>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</si>
  <si>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</si>
  <si>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</si>
  <si>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</si>
  <si>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</si>
  <si>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</si>
  <si>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</si>
  <si>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</si>
  <si>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</si>
  <si>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</si>
  <si>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</si>
  <si>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</si>
  <si>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</si>
  <si>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</si>
  <si>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</si>
  <si>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</si>
  <si>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</si>
  <si>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</si>
  <si>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</si>
  <si>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</si>
  <si>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</si>
  <si>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</si>
  <si>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</si>
  <si>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</si>
  <si>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</si>
  <si>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</si>
  <si>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</si>
  <si>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</si>
  <si>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</si>
  <si>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</si>
  <si>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</si>
  <si>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</si>
  <si>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</si>
  <si>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</si>
  <si>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</si>
  <si>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</si>
  <si>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</si>
  <si>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</si>
  <si>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</si>
  <si>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</si>
  <si>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</si>
  <si>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</si>
  <si>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</si>
  <si>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</si>
  <si>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</si>
  <si>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</si>
  <si>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</si>
  <si>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</si>
  <si>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</si>
  <si>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</si>
  <si>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</si>
  <si>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</si>
  <si>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</si>
  <si>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</si>
  <si>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</si>
  <si>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</si>
  <si>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</si>
  <si>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</si>
  <si>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</si>
  <si>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</si>
  <si>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</si>
  <si>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</si>
  <si>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</si>
  <si>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</si>
  <si>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</si>
  <si>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</si>
  <si>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</si>
  <si>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</si>
  <si>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</si>
  <si>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</si>
  <si>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</si>
  <si>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</si>
  <si>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</si>
  <si>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</si>
  <si>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</si>
  <si>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</si>
  <si>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</si>
  <si>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</si>
  <si>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</si>
  <si>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</si>
  <si>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</si>
  <si>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</si>
  <si>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</si>
  <si>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</si>
  <si>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</si>
  <si>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</si>
  <si>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</si>
  <si>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</si>
  <si>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</si>
  <si>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</si>
  <si>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</si>
  <si>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</si>
  <si>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</si>
  <si>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</si>
  <si>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</si>
  <si>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</si>
  <si>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</si>
  <si>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</si>
  <si>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</si>
  <si>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</si>
  <si>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</si>
  <si>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</si>
  <si>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</si>
  <si>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</si>
  <si>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</si>
  <si>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</si>
  <si>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</si>
  <si>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</si>
  <si>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</si>
  <si>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</si>
  <si>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</si>
  <si>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</si>
  <si>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</si>
  <si>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</si>
  <si>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</si>
  <si>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</si>
  <si>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</si>
  <si>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</si>
  <si>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</si>
  <si>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</si>
  <si>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</si>
  <si>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</si>
  <si>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</si>
  <si>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</si>
  <si>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</si>
  <si>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</si>
  <si>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</si>
  <si>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</si>
  <si>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</si>
  <si>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</si>
  <si>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</si>
  <si>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</si>
  <si>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</si>
  <si>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</si>
  <si>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</si>
  <si>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</si>
  <si>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</si>
  <si>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</si>
  <si>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</si>
  <si>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</si>
  <si>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</si>
  <si>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</si>
  <si>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</si>
  <si>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</si>
  <si>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</si>
  <si>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</si>
  <si>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</si>
  <si>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</si>
  <si>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</si>
  <si>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</si>
  <si>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</si>
  <si>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</si>
  <si>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</si>
  <si>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</si>
  <si>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</si>
  <si>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</si>
  <si>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</si>
  <si>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</si>
  <si>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</si>
  <si>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</si>
  <si>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</si>
  <si>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</si>
  <si>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</si>
  <si>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</si>
  <si>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</si>
  <si>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</si>
  <si>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</si>
  <si>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</si>
  <si>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</si>
  <si>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</si>
  <si>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</si>
  <si>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</si>
  <si>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</si>
  <si>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</si>
  <si>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</si>
  <si>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</si>
  <si>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</si>
  <si>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</si>
  <si>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</si>
  <si>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</si>
  <si>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</si>
  <si>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</si>
  <si>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</si>
  <si>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</si>
  <si>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</si>
  <si>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</si>
  <si>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</si>
  <si>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</si>
  <si>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</si>
  <si>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</si>
  <si>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</si>
  <si>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</si>
  <si>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</si>
  <si>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</si>
  <si>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</si>
  <si>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</si>
  <si>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</si>
  <si>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</si>
  <si>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</si>
  <si>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</si>
  <si>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</si>
  <si>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</si>
  <si>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</si>
  <si>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</si>
  <si>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</si>
  <si>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</si>
  <si>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</si>
  <si>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</si>
  <si>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</si>
  <si>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</si>
  <si>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</si>
  <si>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</si>
  <si>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</si>
  <si>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</si>
  <si>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</si>
  <si>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</si>
  <si>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</si>
  <si>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</si>
  <si>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</si>
  <si>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</si>
  <si>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</si>
  <si>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</si>
  <si>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</si>
  <si>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</si>
  <si>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</si>
  <si>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</si>
  <si>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</si>
  <si>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</si>
  <si>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</si>
  <si>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</si>
  <si>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</si>
  <si>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</si>
  <si>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</si>
  <si>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</si>
  <si>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</si>
  <si>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</si>
  <si>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</si>
  <si>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</si>
  <si>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</si>
  <si>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</si>
  <si>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</si>
  <si>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</si>
  <si>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</si>
  <si>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</si>
  <si>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</si>
  <si>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</si>
  <si>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</si>
  <si>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</si>
  <si>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</si>
  <si>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</si>
  <si>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</si>
  <si>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</si>
  <si>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</si>
  <si>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</si>
  <si>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</si>
  <si>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</si>
  <si>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</si>
  <si>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</si>
  <si>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</si>
  <si>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</si>
  <si>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</si>
  <si>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</si>
  <si>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</si>
  <si>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</si>
  <si>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</si>
  <si>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</si>
  <si>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</si>
  <si>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</si>
  <si>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</si>
  <si>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</si>
  <si>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</si>
  <si>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</si>
  <si>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</si>
  <si>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</si>
  <si>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</si>
  <si>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</si>
  <si>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</si>
  <si>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</si>
  <si>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</si>
  <si>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</si>
  <si>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</si>
  <si>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</si>
  <si>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</si>
  <si>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</si>
  <si>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</si>
  <si>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</si>
  <si>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</si>
  <si>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</si>
  <si>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</si>
  <si>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</si>
  <si>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</si>
  <si>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</si>
  <si>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</si>
  <si>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</si>
  <si>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</si>
  <si>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</si>
  <si>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</si>
  <si>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</si>
  <si>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</si>
  <si>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</si>
  <si>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</si>
  <si>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</si>
  <si>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</si>
  <si>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</si>
  <si>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</si>
  <si>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</si>
  <si>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</si>
  <si>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</si>
  <si>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</si>
  <si>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</si>
  <si>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</si>
  <si>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</si>
  <si>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</si>
  <si>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</si>
  <si>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</si>
  <si>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</si>
  <si>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</si>
  <si>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</si>
  <si>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</si>
  <si>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</si>
  <si>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</si>
  <si>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</si>
  <si>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</si>
  <si>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</si>
  <si>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</si>
  <si>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</si>
  <si>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</si>
  <si>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</si>
  <si>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</si>
  <si>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</si>
  <si>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</si>
  <si>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</si>
  <si>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</si>
  <si>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</si>
  <si>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</si>
  <si>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</si>
  <si>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</si>
  <si>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</si>
  <si>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</si>
  <si>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</si>
  <si>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</si>
  <si>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</si>
  <si>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</si>
  <si>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</si>
  <si>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</si>
  <si>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</si>
  <si>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</si>
  <si>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</si>
  <si>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</si>
  <si>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</si>
  <si>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</si>
  <si>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</si>
  <si>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</si>
  <si>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</si>
  <si>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</si>
  <si>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</si>
  <si>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</si>
  <si>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</si>
  <si>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</si>
  <si>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</si>
  <si>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</si>
  <si>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</si>
  <si>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</si>
  <si>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</si>
  <si>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</si>
  <si>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</si>
  <si>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</si>
  <si>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</si>
  <si>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</si>
  <si>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</si>
  <si>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</si>
  <si>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Plainfield School District</t>
  </si>
  <si>
    <t>7/07</t>
  </si>
  <si>
    <t>12/10</t>
  </si>
  <si>
    <t>8/12</t>
  </si>
  <si>
    <t>1/21</t>
  </si>
  <si>
    <t>7/19/12</t>
  </si>
  <si>
    <t>8/22</t>
  </si>
  <si>
    <t>Column 2 represents total loan amount, the district also realizes a premium on the bond of $15,200</t>
  </si>
  <si>
    <t>Column 3 represents total loan amount, the district also realizes a premium on the bond of $31,500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</si>
</sst>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_)"/>
    <numFmt numFmtId="165" formatCode="0_)"/>
    <numFmt numFmtId="166" formatCode="0.0%"/>
    <numFmt numFmtId="167" formatCode="0.0"/>
    <numFmt numFmtId="168" formatCode="#,##0.0000000000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8" fontId="4" fillId="0" borderId="0" xfId="0" applyNumberFormat="1" applyFont="1" applyProtection="1">
      <protection locked="0"/>
    </xf>
    <xf numFmtId="38" fontId="2" fillId="0" borderId="0" xfId="0" quotePrefix="1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550" activePane="bottomRight" state="frozen"/>
      <selection pane="topRight" activeCell="F1" sqref="F1"/>
      <selection pane="bottomLeft" activeCell="A4" sqref="A4"/>
      <selection pane="bottomRight" activeCell="F576" sqref="F57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32</v>
      </c>
      <c r="C2" s="21"/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335418.73+100+1581.84-415</f>
        <v>336685.57</v>
      </c>
      <c r="G9" s="18" t="s">
        <v>287</v>
      </c>
      <c r="H9" s="18" t="s">
        <v>287</v>
      </c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f>42328.99</f>
        <v>42328.99</v>
      </c>
      <c r="G10" s="18"/>
      <c r="H10" s="18"/>
      <c r="I10" s="18"/>
      <c r="J10" s="67">
        <f>SUM(I439)</f>
        <v>341690.49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13363.22</v>
      </c>
      <c r="G12" s="18">
        <v>494.57</v>
      </c>
      <c r="H12" s="18" t="s">
        <v>287</v>
      </c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 t="s">
        <v>287</v>
      </c>
      <c r="G13" s="18">
        <v>1871.35</v>
      </c>
      <c r="H13" s="18">
        <f>3175.92+10041.47+1840</f>
        <v>15057.39</v>
      </c>
      <c r="I13" s="18"/>
      <c r="J13" s="67">
        <f>SUM(I441)</f>
        <v>60000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2355.52</v>
      </c>
      <c r="G14" s="18"/>
      <c r="H14" s="18" t="s">
        <v>287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 t="s">
        <v>287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394733.3</v>
      </c>
      <c r="G19" s="41">
        <f>SUM(G9:G18)</f>
        <v>2365.92</v>
      </c>
      <c r="H19" s="41">
        <f>SUM(H9:H18)</f>
        <v>15057.39</v>
      </c>
      <c r="I19" s="41">
        <f>SUM(I9:I18)</f>
        <v>0</v>
      </c>
      <c r="J19" s="41">
        <f>SUM(J9:J18)</f>
        <v>401690.49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 t="s">
        <v>287</v>
      </c>
      <c r="G22" s="18" t="s">
        <v>287</v>
      </c>
      <c r="H22" s="18">
        <f>0.4+3175.92+10041.47+1840-1200-0.4</f>
        <v>13857.39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60000</v>
      </c>
      <c r="G23" s="18" t="s">
        <v>287</v>
      </c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104268.96-33344.82-60000</f>
        <v>10924.140000000014</v>
      </c>
      <c r="G24" s="18">
        <v>38.340000000000003</v>
      </c>
      <c r="H24" s="18" t="s">
        <v>287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 t="s">
        <v>287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285+38.48+65</f>
        <v>388.48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 t="s">
        <v>287</v>
      </c>
      <c r="H30" s="18" t="s">
        <v>287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 t="s">
        <v>287</v>
      </c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71312.62000000001</v>
      </c>
      <c r="G32" s="41">
        <f>SUM(G22:G31)</f>
        <v>38.340000000000003</v>
      </c>
      <c r="H32" s="41">
        <f>SUM(H22:H31)</f>
        <v>13857.39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 t="s">
        <v>287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G19-G32</f>
        <v>2327.58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 t="s">
        <v>287</v>
      </c>
      <c r="G47" s="18"/>
      <c r="H47" s="18">
        <f>H19-H32-H48</f>
        <v>1200</v>
      </c>
      <c r="I47" s="18"/>
      <c r="J47" s="13">
        <f>SUM(I458)</f>
        <v>401690.49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93985.82</v>
      </c>
      <c r="G48" s="18" t="s">
        <v>287</v>
      </c>
      <c r="H48" s="18" t="s">
        <v>287</v>
      </c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F19-F32-F44-F48</f>
        <v>214434.86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323420.68</v>
      </c>
      <c r="G50" s="41">
        <f>SUM(G35:G49)</f>
        <v>2327.58</v>
      </c>
      <c r="H50" s="41">
        <f>SUM(H35:H49)</f>
        <v>1200</v>
      </c>
      <c r="I50" s="41">
        <f>SUM(I35:I49)</f>
        <v>0</v>
      </c>
      <c r="J50" s="41">
        <f>SUM(J35:J49)</f>
        <v>401690.49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394733.3</v>
      </c>
      <c r="G51" s="41">
        <f>G50+G32</f>
        <v>2365.92</v>
      </c>
      <c r="H51" s="41">
        <f>H50+H32</f>
        <v>15057.39</v>
      </c>
      <c r="I51" s="41">
        <f>I50+I32</f>
        <v>0</v>
      </c>
      <c r="J51" s="41">
        <f>J50+J32</f>
        <v>401690.49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4786514-669831</f>
        <v>4116683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4116683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3209.6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 t="s">
        <v>287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 t="s">
        <v>287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 t="s">
        <v>287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3209.6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f>65.58+190.36</f>
        <v>255.94</v>
      </c>
      <c r="G95" s="18" t="s">
        <v>287</v>
      </c>
      <c r="H95" s="18" t="s">
        <v>287</v>
      </c>
      <c r="I95" s="18"/>
      <c r="J95" s="18">
        <f>405.34+136.59+559.41+13.24</f>
        <v>1114.58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38020.089999999997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580</v>
      </c>
      <c r="G100" s="18"/>
      <c r="H100" s="18" t="s">
        <v>287</v>
      </c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 t="s">
        <v>287</v>
      </c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15062</v>
      </c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 t="s">
        <v>287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55123.25-15062-1856</f>
        <v>38205.25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54103.19</v>
      </c>
      <c r="G110" s="41">
        <f>SUM(G95:G109)</f>
        <v>38020.089999999997</v>
      </c>
      <c r="H110" s="41">
        <f>SUM(H95:H109)</f>
        <v>0</v>
      </c>
      <c r="I110" s="41">
        <f>SUM(I95:I109)</f>
        <v>0</v>
      </c>
      <c r="J110" s="41">
        <f>SUM(J95:J109)</f>
        <v>1114.58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4173995.79</v>
      </c>
      <c r="G111" s="41">
        <f>G59+G110</f>
        <v>38020.089999999997</v>
      </c>
      <c r="H111" s="41">
        <f>H59+H78+H93+H110</f>
        <v>0</v>
      </c>
      <c r="I111" s="41">
        <f>I59+I110</f>
        <v>0</v>
      </c>
      <c r="J111" s="41">
        <f>J59+J110</f>
        <v>1114.58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794931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669831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1856</v>
      </c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1466618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31502.34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 t="s">
        <v>287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 t="s">
        <v>287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560.24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31502.34</v>
      </c>
      <c r="G135" s="41">
        <f>SUM(G122:G134)</f>
        <v>560.24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1498120.34</v>
      </c>
      <c r="G139" s="41">
        <f>G120+SUM(G135:G136)</f>
        <v>560.24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f>26969.42</f>
        <v>26969.42</v>
      </c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 t="s">
        <v>287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 t="s">
        <v>287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 t="s">
        <v>287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9863.34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63212.78+3548.44</f>
        <v>66761.22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52926.92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0</v>
      </c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52926.92</v>
      </c>
      <c r="G161" s="41">
        <f>SUM(G149:G160)</f>
        <v>9863.34</v>
      </c>
      <c r="H161" s="41">
        <f>SUM(H149:H160)</f>
        <v>93730.64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52926.92</v>
      </c>
      <c r="G168" s="41">
        <f>G146+G161+SUM(G162:G167)</f>
        <v>9863.34</v>
      </c>
      <c r="H168" s="41">
        <f>H146+H161+SUM(H162:H167)</f>
        <v>93730.64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>
        <v>575000</v>
      </c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575000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24796.53</v>
      </c>
      <c r="H178" s="18"/>
      <c r="I178" s="18"/>
      <c r="J178" s="18">
        <v>90000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24796.53</v>
      </c>
      <c r="H182" s="41">
        <f>SUM(H178:H181)</f>
        <v>0</v>
      </c>
      <c r="I182" s="41">
        <f>SUM(I178:I181)</f>
        <v>0</v>
      </c>
      <c r="J182" s="41">
        <f>SUM(J178:J181)</f>
        <v>90000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24796.53</v>
      </c>
      <c r="H191" s="41">
        <f>+H182+SUM(H187:H190)</f>
        <v>0</v>
      </c>
      <c r="I191" s="41">
        <f>I176+I182+SUM(I187:I190)</f>
        <v>575000</v>
      </c>
      <c r="J191" s="41">
        <f>J182</f>
        <v>90000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5725043.0499999998</v>
      </c>
      <c r="G192" s="47">
        <f>G111+G139+G168+G191</f>
        <v>73240.2</v>
      </c>
      <c r="H192" s="47">
        <f>H111+H139+H168+H191</f>
        <v>93730.64</v>
      </c>
      <c r="I192" s="47">
        <f>I111+I139+I168+I191</f>
        <v>575000</v>
      </c>
      <c r="J192" s="47">
        <f>J111+J139+J191</f>
        <v>91114.58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1158515</f>
        <v>1158515</v>
      </c>
      <c r="G196" s="18">
        <f>443527.9</f>
        <v>443527.9</v>
      </c>
      <c r="H196" s="18">
        <f>59961.11+12600+2282.31+415+1318.67+307.4</f>
        <v>76884.489999999991</v>
      </c>
      <c r="I196" s="18">
        <f>41448.67+392.63+1899.58+100-1497.2+15001.73-11689.46+9614.6+2418.28-5147+4970.27</f>
        <v>57512.100000000006</v>
      </c>
      <c r="J196" s="18">
        <v>3643.93</v>
      </c>
      <c r="K196" s="18">
        <f>10568.66</f>
        <v>10568.66</v>
      </c>
      <c r="L196" s="19">
        <f>SUM(F196:K196)</f>
        <v>1750652.0799999998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571981.2+7244.85</f>
        <v>579226.04999999993</v>
      </c>
      <c r="G197" s="18">
        <f>314118.1+554.22</f>
        <v>314672.31999999995</v>
      </c>
      <c r="H197" s="18">
        <f>73481.27+9405+678+678-4885</f>
        <v>79357.27</v>
      </c>
      <c r="I197" s="18">
        <f>1170.42+3509.02</f>
        <v>4679.4400000000005</v>
      </c>
      <c r="J197" s="18">
        <v>1171.4100000000001</v>
      </c>
      <c r="K197" s="18">
        <v>600.95000000000005</v>
      </c>
      <c r="L197" s="19">
        <f>SUM(F197:K197)</f>
        <v>979707.43999999983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26306.45</f>
        <v>26306.45</v>
      </c>
      <c r="G199" s="18">
        <f>3004.82</f>
        <v>3004.82</v>
      </c>
      <c r="H199" s="18">
        <f>640</f>
        <v>640</v>
      </c>
      <c r="I199" s="18">
        <f>4134.12+520-520</f>
        <v>4134.12</v>
      </c>
      <c r="J199" s="18"/>
      <c r="K199" s="18">
        <v>1445</v>
      </c>
      <c r="L199" s="19">
        <f>SUM(F199:K199)</f>
        <v>35530.39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70807.63+60322</f>
        <v>131129.63</v>
      </c>
      <c r="G201" s="18">
        <f>32943.67+32684.74</f>
        <v>65628.41</v>
      </c>
      <c r="H201" s="18">
        <f>2438.29+70684.31+1557.07+6640.9+14815.25+17339-29882</f>
        <v>83592.819999999992</v>
      </c>
      <c r="I201" s="18">
        <f>1488.37+1607.21-685.95</f>
        <v>2409.63</v>
      </c>
      <c r="J201" s="18">
        <v>7968.12</v>
      </c>
      <c r="K201" s="18">
        <v>115</v>
      </c>
      <c r="L201" s="19">
        <f t="shared" ref="L201:L207" si="0">SUM(F201:K201)</f>
        <v>290843.61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17206.66+55251.25</f>
        <v>72457.91</v>
      </c>
      <c r="G202" s="18">
        <f>3116.48+35292.01</f>
        <v>38408.490000000005</v>
      </c>
      <c r="H202" s="18">
        <f>20873.88+1354+661.46</f>
        <v>22889.34</v>
      </c>
      <c r="I202" s="18">
        <f>2253.7+4461.92+300+308.73-1476.32+962.13-756</f>
        <v>6054.1600000000008</v>
      </c>
      <c r="J202" s="18">
        <f>661.99</f>
        <v>661.99</v>
      </c>
      <c r="K202" s="18"/>
      <c r="L202" s="19">
        <f t="shared" si="0"/>
        <v>140471.89000000001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1950+126004.1</f>
        <v>127954.1</v>
      </c>
      <c r="G203" s="18">
        <f>25011.54</f>
        <v>25011.54</v>
      </c>
      <c r="H203" s="18">
        <f>20159.24+4603.83+3842+1375+5141-12103.99+4995-3249</f>
        <v>24763.08</v>
      </c>
      <c r="I203" s="18">
        <f>1330.02+1559.36</f>
        <v>2889.38</v>
      </c>
      <c r="J203" s="18">
        <f>1656.18</f>
        <v>1656.18</v>
      </c>
      <c r="K203" s="18">
        <f>4180.73+6487.32</f>
        <v>10668.05</v>
      </c>
      <c r="L203" s="19">
        <f t="shared" si="0"/>
        <v>192942.33000000002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157452.8</f>
        <v>157452.79999999999</v>
      </c>
      <c r="G204" s="18">
        <f>70847.06+27973.79+40</f>
        <v>98860.85</v>
      </c>
      <c r="H204" s="18">
        <f>14369.37+144.19-1804</f>
        <v>12709.560000000001</v>
      </c>
      <c r="I204" s="18">
        <f>636.32+1619.82</f>
        <v>2256.14</v>
      </c>
      <c r="J204" s="18">
        <v>644.74</v>
      </c>
      <c r="K204" s="18">
        <v>1509</v>
      </c>
      <c r="L204" s="19">
        <f t="shared" si="0"/>
        <v>273433.09000000003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101302.1</f>
        <v>101302.1</v>
      </c>
      <c r="G206" s="18">
        <f>48428.37</f>
        <v>48428.37</v>
      </c>
      <c r="H206" s="18">
        <f>108422.6</f>
        <v>108422.6</v>
      </c>
      <c r="I206" s="18">
        <f>34977.71+279.98-280</f>
        <v>34977.69</v>
      </c>
      <c r="J206" s="18">
        <v>230.72</v>
      </c>
      <c r="K206" s="18">
        <v>450</v>
      </c>
      <c r="L206" s="19">
        <f t="shared" si="0"/>
        <v>293811.48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811.6</v>
      </c>
      <c r="G207" s="18">
        <v>133.04</v>
      </c>
      <c r="H207" s="18">
        <f>211238.1-32604</f>
        <v>178634.1</v>
      </c>
      <c r="I207" s="18"/>
      <c r="J207" s="18"/>
      <c r="K207" s="18"/>
      <c r="L207" s="19">
        <f t="shared" si="0"/>
        <v>179578.74000000002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2355155.64</v>
      </c>
      <c r="G210" s="41">
        <f t="shared" si="1"/>
        <v>1037675.74</v>
      </c>
      <c r="H210" s="41">
        <f t="shared" si="1"/>
        <v>587893.26</v>
      </c>
      <c r="I210" s="41">
        <f t="shared" si="1"/>
        <v>114912.66000000002</v>
      </c>
      <c r="J210" s="41">
        <f t="shared" si="1"/>
        <v>15977.089999999998</v>
      </c>
      <c r="K210" s="41">
        <f t="shared" si="1"/>
        <v>25356.66</v>
      </c>
      <c r="L210" s="41">
        <f t="shared" si="1"/>
        <v>4136971.05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 t="s">
        <v>287</v>
      </c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1231557</f>
        <v>1231557</v>
      </c>
      <c r="I232" s="18"/>
      <c r="J232" s="18"/>
      <c r="K232" s="18"/>
      <c r="L232" s="19">
        <f>SUM(F232:K232)</f>
        <v>1231557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32604</v>
      </c>
      <c r="I243" s="18"/>
      <c r="J243" s="18"/>
      <c r="K243" s="18"/>
      <c r="L243" s="19">
        <f t="shared" si="4"/>
        <v>32604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1264161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1264161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7500</v>
      </c>
      <c r="I254" s="18"/>
      <c r="J254" s="18"/>
      <c r="K254" s="18"/>
      <c r="L254" s="19">
        <f t="shared" si="6"/>
        <v>7500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7500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7500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2355155.64</v>
      </c>
      <c r="G256" s="41">
        <f t="shared" si="8"/>
        <v>1037675.74</v>
      </c>
      <c r="H256" s="41">
        <f t="shared" si="8"/>
        <v>1859554.26</v>
      </c>
      <c r="I256" s="41">
        <f t="shared" si="8"/>
        <v>114912.66000000002</v>
      </c>
      <c r="J256" s="41">
        <f t="shared" si="8"/>
        <v>15977.089999999998</v>
      </c>
      <c r="K256" s="41">
        <f t="shared" si="8"/>
        <v>25356.66</v>
      </c>
      <c r="L256" s="41">
        <f t="shared" si="8"/>
        <v>5408632.0499999998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f>95000</f>
        <v>95000</v>
      </c>
      <c r="L259" s="19">
        <f>SUM(F259:K259)</f>
        <v>95000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22228.07</v>
      </c>
      <c r="L260" s="19">
        <f>SUM(F260:K260)</f>
        <v>22228.07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f>24796.53</f>
        <v>24796.53</v>
      </c>
      <c r="L262" s="19">
        <f>SUM(F262:K262)</f>
        <v>24796.53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90000</v>
      </c>
      <c r="L265" s="19">
        <f t="shared" si="9"/>
        <v>90000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232024.6</v>
      </c>
      <c r="L269" s="41">
        <f t="shared" si="9"/>
        <v>232024.6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2355155.64</v>
      </c>
      <c r="G270" s="42">
        <f t="shared" si="11"/>
        <v>1037675.74</v>
      </c>
      <c r="H270" s="42">
        <f t="shared" si="11"/>
        <v>1859554.26</v>
      </c>
      <c r="I270" s="42">
        <f t="shared" si="11"/>
        <v>114912.66000000002</v>
      </c>
      <c r="J270" s="42">
        <f t="shared" si="11"/>
        <v>15977.089999999998</v>
      </c>
      <c r="K270" s="42">
        <f t="shared" si="11"/>
        <v>257381.26</v>
      </c>
      <c r="L270" s="42">
        <f t="shared" si="11"/>
        <v>5640656.6499999994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19662.42</f>
        <v>19662.419999999998</v>
      </c>
      <c r="G275" s="18">
        <v>0</v>
      </c>
      <c r="H275" s="18">
        <v>2664.08</v>
      </c>
      <c r="I275" s="18">
        <v>660</v>
      </c>
      <c r="J275" s="18">
        <v>3534.93</v>
      </c>
      <c r="K275" s="18"/>
      <c r="L275" s="19">
        <f>SUM(F275:K275)</f>
        <v>26521.43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12641+1840</f>
        <v>14481</v>
      </c>
      <c r="G276" s="18">
        <v>0</v>
      </c>
      <c r="H276" s="18">
        <f>38888.02</f>
        <v>38888.019999999997</v>
      </c>
      <c r="I276" s="18">
        <f>614.95+103.44</f>
        <v>718.3900000000001</v>
      </c>
      <c r="J276" s="18">
        <f>11068.81+1605</f>
        <v>12673.81</v>
      </c>
      <c r="K276" s="18"/>
      <c r="L276" s="19">
        <f>SUM(F276:K276)</f>
        <v>66761.22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447.99</v>
      </c>
      <c r="I281" s="18"/>
      <c r="J281" s="18"/>
      <c r="K281" s="18"/>
      <c r="L281" s="19">
        <f t="shared" si="12"/>
        <v>447.99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34143.42</v>
      </c>
      <c r="G289" s="42">
        <f t="shared" si="13"/>
        <v>0</v>
      </c>
      <c r="H289" s="42">
        <f t="shared" si="13"/>
        <v>42000.09</v>
      </c>
      <c r="I289" s="42">
        <f t="shared" si="13"/>
        <v>1378.39</v>
      </c>
      <c r="J289" s="42">
        <f t="shared" si="13"/>
        <v>16208.74</v>
      </c>
      <c r="K289" s="42">
        <f t="shared" si="13"/>
        <v>0</v>
      </c>
      <c r="L289" s="41">
        <f t="shared" si="13"/>
        <v>93730.64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34143.42</v>
      </c>
      <c r="G337" s="41">
        <f t="shared" si="20"/>
        <v>0</v>
      </c>
      <c r="H337" s="41">
        <f t="shared" si="20"/>
        <v>42000.09</v>
      </c>
      <c r="I337" s="41">
        <f t="shared" si="20"/>
        <v>1378.39</v>
      </c>
      <c r="J337" s="41">
        <f t="shared" si="20"/>
        <v>16208.74</v>
      </c>
      <c r="K337" s="41">
        <f t="shared" si="20"/>
        <v>0</v>
      </c>
      <c r="L337" s="41">
        <f t="shared" si="20"/>
        <v>93730.64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34143.42</v>
      </c>
      <c r="G351" s="41">
        <f>G337</f>
        <v>0</v>
      </c>
      <c r="H351" s="41">
        <f>H337</f>
        <v>42000.09</v>
      </c>
      <c r="I351" s="41">
        <f>I337</f>
        <v>1378.39</v>
      </c>
      <c r="J351" s="41">
        <f>J337</f>
        <v>16208.74</v>
      </c>
      <c r="K351" s="47">
        <f>K337+K350</f>
        <v>0</v>
      </c>
      <c r="L351" s="41">
        <f>L337+L350</f>
        <v>93730.64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13360.19</f>
        <v>13360.19</v>
      </c>
      <c r="G357" s="18">
        <f>1122.58</f>
        <v>1122.58</v>
      </c>
      <c r="H357" s="18">
        <f>53996.29</f>
        <v>53996.29</v>
      </c>
      <c r="I357" s="18">
        <f>4780.31</f>
        <v>4780.3100000000004</v>
      </c>
      <c r="J357" s="18"/>
      <c r="K357" s="18"/>
      <c r="L357" s="13">
        <f>SUM(F357:K357)</f>
        <v>73259.37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13360.19</v>
      </c>
      <c r="G361" s="47">
        <f t="shared" si="22"/>
        <v>1122.58</v>
      </c>
      <c r="H361" s="47">
        <f t="shared" si="22"/>
        <v>53996.29</v>
      </c>
      <c r="I361" s="47">
        <f t="shared" si="22"/>
        <v>4780.3100000000004</v>
      </c>
      <c r="J361" s="47">
        <f t="shared" si="22"/>
        <v>0</v>
      </c>
      <c r="K361" s="47">
        <f t="shared" si="22"/>
        <v>0</v>
      </c>
      <c r="L361" s="47">
        <f t="shared" si="22"/>
        <v>73259.37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4011.89</v>
      </c>
      <c r="G366" s="18"/>
      <c r="H366" s="18"/>
      <c r="I366" s="56">
        <f>SUM(F366:H366)</f>
        <v>4011.89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4780.31-F366</f>
        <v>768.42000000000053</v>
      </c>
      <c r="G367" s="63"/>
      <c r="H367" s="63"/>
      <c r="I367" s="56">
        <f>SUM(F367:H367)</f>
        <v>768.42000000000053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4780.3100000000004</v>
      </c>
      <c r="G368" s="47">
        <f>SUM(G366:G367)</f>
        <v>0</v>
      </c>
      <c r="H368" s="47">
        <f>SUM(H366:H367)</f>
        <v>0</v>
      </c>
      <c r="I368" s="47">
        <f>SUM(I366:I367)</f>
        <v>4780.3100000000004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>
        <f>372810</f>
        <v>372810</v>
      </c>
      <c r="I378" s="18">
        <v>202190</v>
      </c>
      <c r="J378" s="18"/>
      <c r="K378" s="18"/>
      <c r="L378" s="13">
        <f t="shared" si="23"/>
        <v>575000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372810</v>
      </c>
      <c r="I381" s="41">
        <f t="shared" si="24"/>
        <v>202190</v>
      </c>
      <c r="J381" s="47">
        <f t="shared" si="24"/>
        <v>0</v>
      </c>
      <c r="K381" s="47">
        <f t="shared" si="24"/>
        <v>0</v>
      </c>
      <c r="L381" s="47">
        <f t="shared" si="24"/>
        <v>575000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15000</v>
      </c>
      <c r="H388" s="18">
        <f>405.34</f>
        <v>405.34</v>
      </c>
      <c r="I388" s="18"/>
      <c r="J388" s="24" t="s">
        <v>289</v>
      </c>
      <c r="K388" s="24" t="s">
        <v>289</v>
      </c>
      <c r="L388" s="56">
        <f t="shared" si="25"/>
        <v>15405.34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>
        <v>15000</v>
      </c>
      <c r="H389" s="18">
        <v>13.24</v>
      </c>
      <c r="I389" s="18"/>
      <c r="J389" s="24" t="s">
        <v>289</v>
      </c>
      <c r="K389" s="24" t="s">
        <v>289</v>
      </c>
      <c r="L389" s="56">
        <f t="shared" si="25"/>
        <v>15013.24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30000</v>
      </c>
      <c r="H392" s="139">
        <f>SUM(H386:H391)</f>
        <v>418.58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30418.58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>
        <v>136.59</v>
      </c>
      <c r="I394" s="18"/>
      <c r="J394" s="24" t="s">
        <v>289</v>
      </c>
      <c r="K394" s="24" t="s">
        <v>289</v>
      </c>
      <c r="L394" s="56">
        <f t="shared" ref="L394:L399" si="26">SUM(F394:K394)</f>
        <v>136.59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 t="s">
        <v>287</v>
      </c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>
        <v>0</v>
      </c>
      <c r="G396" s="18">
        <v>60000</v>
      </c>
      <c r="H396" s="18">
        <v>559.41</v>
      </c>
      <c r="I396" s="18"/>
      <c r="J396" s="24" t="s">
        <v>289</v>
      </c>
      <c r="K396" s="24" t="s">
        <v>289</v>
      </c>
      <c r="L396" s="56">
        <f t="shared" si="26"/>
        <v>60559.41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60000</v>
      </c>
      <c r="H400" s="47">
        <f>SUM(H394:H399)</f>
        <v>696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60696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90000</v>
      </c>
      <c r="H407" s="47">
        <f>H392+H400+H406</f>
        <v>1114.58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91114.58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>
        <v>0</v>
      </c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>
        <v>0</v>
      </c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f>124774.39+15013.24</f>
        <v>139787.63</v>
      </c>
      <c r="G439" s="18">
        <f>49603.15+152299.71</f>
        <v>201902.86</v>
      </c>
      <c r="H439" s="18"/>
      <c r="I439" s="56">
        <f t="shared" si="33"/>
        <v>341690.49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>
        <v>0</v>
      </c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>
        <v>60000</v>
      </c>
      <c r="H441" s="18"/>
      <c r="I441" s="56">
        <f t="shared" si="33"/>
        <v>60000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139787.63</v>
      </c>
      <c r="G445" s="13">
        <f>SUM(G438:G444)</f>
        <v>261902.86</v>
      </c>
      <c r="H445" s="13">
        <f>SUM(H438:H444)</f>
        <v>0</v>
      </c>
      <c r="I445" s="13">
        <f>SUM(I438:I444)</f>
        <v>401690.49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f>F445</f>
        <v>139787.63</v>
      </c>
      <c r="G458" s="18">
        <f>G445</f>
        <v>261902.86</v>
      </c>
      <c r="H458" s="18"/>
      <c r="I458" s="56">
        <f t="shared" si="34"/>
        <v>401690.49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139787.63</v>
      </c>
      <c r="G459" s="83">
        <f>SUM(G453:G458)</f>
        <v>261902.86</v>
      </c>
      <c r="H459" s="83">
        <f>SUM(H453:H458)</f>
        <v>0</v>
      </c>
      <c r="I459" s="83">
        <f>SUM(I453:I458)</f>
        <v>401690.49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139787.63</v>
      </c>
      <c r="G460" s="42">
        <f>G451+G459</f>
        <v>261902.86</v>
      </c>
      <c r="H460" s="42">
        <f>H451+H459</f>
        <v>0</v>
      </c>
      <c r="I460" s="42">
        <f>I451+I459</f>
        <v>401690.49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f>239034.28</f>
        <v>239034.28</v>
      </c>
      <c r="G464" s="18">
        <v>2346.75</v>
      </c>
      <c r="H464" s="18">
        <v>1200</v>
      </c>
      <c r="I464" s="18"/>
      <c r="J464" s="18">
        <f>109369.05+49466.56+151740.3</f>
        <v>310575.90999999997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5725043.0499999998</v>
      </c>
      <c r="G467" s="18">
        <f>G192</f>
        <v>73240.2</v>
      </c>
      <c r="H467" s="18">
        <f>H192</f>
        <v>93730.64</v>
      </c>
      <c r="I467" s="18">
        <f>I192</f>
        <v>575000</v>
      </c>
      <c r="J467" s="18">
        <f>L407</f>
        <v>91114.58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5725043.0499999998</v>
      </c>
      <c r="G469" s="53">
        <f>SUM(G467:G468)</f>
        <v>73240.2</v>
      </c>
      <c r="H469" s="53">
        <f>SUM(H467:H468)</f>
        <v>93730.64</v>
      </c>
      <c r="I469" s="53">
        <f>SUM(I467:I468)</f>
        <v>575000</v>
      </c>
      <c r="J469" s="53">
        <f>SUM(J467:J468)</f>
        <v>91114.58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5640656.6499999994</v>
      </c>
      <c r="G471" s="18">
        <f>L361</f>
        <v>73259.37</v>
      </c>
      <c r="H471" s="18">
        <f>L351</f>
        <v>93730.64</v>
      </c>
      <c r="I471" s="18">
        <f>L381</f>
        <v>575000</v>
      </c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5640656.6499999994</v>
      </c>
      <c r="G473" s="53">
        <f>SUM(G471:G472)</f>
        <v>73259.37</v>
      </c>
      <c r="H473" s="53">
        <f>SUM(H471:H472)</f>
        <v>93730.64</v>
      </c>
      <c r="I473" s="53">
        <f>SUM(I471:I472)</f>
        <v>575000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323420.68000000063</v>
      </c>
      <c r="G475" s="53">
        <f>(G464+G469)- G473</f>
        <v>2327.5800000000017</v>
      </c>
      <c r="H475" s="53">
        <f>(H464+H469)- H473</f>
        <v>1200</v>
      </c>
      <c r="I475" s="53">
        <f>(I464+I469)- I473</f>
        <v>0</v>
      </c>
      <c r="J475" s="53">
        <f>(J464+J469)- J473</f>
        <v>401690.49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5</v>
      </c>
      <c r="G489" s="154">
        <v>10</v>
      </c>
      <c r="H489" s="154">
        <v>10</v>
      </c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 t="s">
        <v>911</v>
      </c>
      <c r="H490" s="275" t="s">
        <v>914</v>
      </c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912</v>
      </c>
      <c r="G491" s="155" t="s">
        <v>913</v>
      </c>
      <c r="H491" s="275" t="s">
        <v>915</v>
      </c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300000</v>
      </c>
      <c r="G492" s="18">
        <v>314800</v>
      </c>
      <c r="H492" s="18">
        <v>543500</v>
      </c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4.08</v>
      </c>
      <c r="G493" s="18">
        <v>3</v>
      </c>
      <c r="H493" s="18">
        <v>2.3315000000000001</v>
      </c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60000</v>
      </c>
      <c r="G494" s="18">
        <f>314800-34800</f>
        <v>280000</v>
      </c>
      <c r="H494" s="18">
        <v>0</v>
      </c>
      <c r="I494" s="18"/>
      <c r="J494" s="18"/>
      <c r="K494" s="53">
        <f>SUM(F494:J494)</f>
        <v>340000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>
        <v>0</v>
      </c>
      <c r="H495" s="18">
        <v>575000</v>
      </c>
      <c r="I495" s="18"/>
      <c r="J495" s="18"/>
      <c r="K495" s="53">
        <f t="shared" ref="K495:K502" si="35">SUM(F495:J495)</f>
        <v>575000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60000</v>
      </c>
      <c r="G496" s="18">
        <v>35000</v>
      </c>
      <c r="H496" s="18">
        <f>0</f>
        <v>0</v>
      </c>
      <c r="I496" s="18"/>
      <c r="J496" s="18"/>
      <c r="K496" s="53">
        <f t="shared" si="35"/>
        <v>95000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f>F494-F496</f>
        <v>0</v>
      </c>
      <c r="G497" s="204">
        <f>G494-G496</f>
        <v>245000</v>
      </c>
      <c r="H497" s="204">
        <f>H495</f>
        <v>575000</v>
      </c>
      <c r="I497" s="204"/>
      <c r="J497" s="204"/>
      <c r="K497" s="205">
        <f t="shared" si="35"/>
        <v>820000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0</v>
      </c>
      <c r="G498" s="18">
        <f>66023.93-6701.93-5772-5250-5250</f>
        <v>43049.999999999993</v>
      </c>
      <c r="H498" s="18">
        <f>103911.82-10453.07</f>
        <v>93458.75</v>
      </c>
      <c r="I498" s="18"/>
      <c r="J498" s="18"/>
      <c r="K498" s="53">
        <f t="shared" si="35"/>
        <v>136508.75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288050</v>
      </c>
      <c r="H499" s="42">
        <f>SUM(H497:H498)</f>
        <v>668458.75</v>
      </c>
      <c r="I499" s="42">
        <f>SUM(I497:I498)</f>
        <v>0</v>
      </c>
      <c r="J499" s="42">
        <f>SUM(J497:J498)</f>
        <v>0</v>
      </c>
      <c r="K499" s="42">
        <f t="shared" si="35"/>
        <v>956508.75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0</v>
      </c>
      <c r="G500" s="204">
        <v>35000</v>
      </c>
      <c r="H500" s="204">
        <f>58500</f>
        <v>58500</v>
      </c>
      <c r="I500" s="204"/>
      <c r="J500" s="204"/>
      <c r="K500" s="205">
        <f t="shared" si="35"/>
        <v>93500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0</v>
      </c>
      <c r="G501" s="18">
        <f>4725+4725</f>
        <v>9450</v>
      </c>
      <c r="H501" s="18">
        <f>9133.75+8256.25</f>
        <v>17390</v>
      </c>
      <c r="I501" s="18"/>
      <c r="J501" s="18"/>
      <c r="K501" s="53">
        <f t="shared" si="35"/>
        <v>26840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44450</v>
      </c>
      <c r="H502" s="42">
        <f>SUM(H500:H501)</f>
        <v>75890</v>
      </c>
      <c r="I502" s="42">
        <f>SUM(I500:I501)</f>
        <v>0</v>
      </c>
      <c r="J502" s="42">
        <f>SUM(J500:J501)</f>
        <v>0</v>
      </c>
      <c r="K502" s="42">
        <f t="shared" si="35"/>
        <v>120340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F197+F276</f>
        <v>593707.04999999993</v>
      </c>
      <c r="G520" s="18">
        <f t="shared" ref="G520:K520" si="36">G197+G276</f>
        <v>314672.31999999995</v>
      </c>
      <c r="H520" s="18">
        <f t="shared" si="36"/>
        <v>118245.29000000001</v>
      </c>
      <c r="I520" s="18">
        <f t="shared" si="36"/>
        <v>5397.8300000000008</v>
      </c>
      <c r="J520" s="18">
        <f t="shared" si="36"/>
        <v>13845.22</v>
      </c>
      <c r="K520" s="18">
        <f t="shared" si="36"/>
        <v>600.95000000000005</v>
      </c>
      <c r="L520" s="88">
        <f>SUM(F520:K520)</f>
        <v>1046468.6599999998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593707.04999999993</v>
      </c>
      <c r="G523" s="108">
        <f t="shared" ref="G523:L523" si="37">SUM(G520:G522)</f>
        <v>314672.31999999995</v>
      </c>
      <c r="H523" s="108">
        <f t="shared" si="37"/>
        <v>118245.29000000001</v>
      </c>
      <c r="I523" s="108">
        <f t="shared" si="37"/>
        <v>5397.8300000000008</v>
      </c>
      <c r="J523" s="108">
        <f t="shared" si="37"/>
        <v>13845.22</v>
      </c>
      <c r="K523" s="108">
        <f t="shared" si="37"/>
        <v>600.95000000000005</v>
      </c>
      <c r="L523" s="89">
        <f t="shared" si="37"/>
        <v>1046468.6599999998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 t="s">
        <v>287</v>
      </c>
      <c r="G525" s="18" t="s">
        <v>287</v>
      </c>
      <c r="H525" s="18">
        <f>3000+7961+50181.6</f>
        <v>61142.6</v>
      </c>
      <c r="I525" s="18" t="s">
        <v>287</v>
      </c>
      <c r="J525" s="18" t="s">
        <v>287</v>
      </c>
      <c r="K525" s="18" t="s">
        <v>287</v>
      </c>
      <c r="L525" s="88">
        <f>SUM(F525:K525)</f>
        <v>61142.6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 t="s">
        <v>287</v>
      </c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8">SUM(G525:G527)</f>
        <v>0</v>
      </c>
      <c r="H528" s="89">
        <f t="shared" si="38"/>
        <v>61142.6</v>
      </c>
      <c r="I528" s="89">
        <f t="shared" si="38"/>
        <v>0</v>
      </c>
      <c r="J528" s="89">
        <f t="shared" si="38"/>
        <v>0</v>
      </c>
      <c r="K528" s="89">
        <f t="shared" si="38"/>
        <v>0</v>
      </c>
      <c r="L528" s="89">
        <f t="shared" si="38"/>
        <v>61142.6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19549</v>
      </c>
      <c r="G530" s="18"/>
      <c r="H530" s="18"/>
      <c r="I530" s="18"/>
      <c r="J530" s="18"/>
      <c r="K530" s="18"/>
      <c r="L530" s="88">
        <f>SUM(F530:K530)</f>
        <v>19549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19549</v>
      </c>
      <c r="G533" s="89">
        <f t="shared" ref="G533:L533" si="39">SUM(G530:G532)</f>
        <v>0</v>
      </c>
      <c r="H533" s="89">
        <f t="shared" si="39"/>
        <v>0</v>
      </c>
      <c r="I533" s="89">
        <f t="shared" si="39"/>
        <v>0</v>
      </c>
      <c r="J533" s="89">
        <f t="shared" si="39"/>
        <v>0</v>
      </c>
      <c r="K533" s="89">
        <f t="shared" si="39"/>
        <v>0</v>
      </c>
      <c r="L533" s="89">
        <f t="shared" si="39"/>
        <v>19549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40">SUM(G535:G537)</f>
        <v>0</v>
      </c>
      <c r="H538" s="89">
        <f t="shared" si="40"/>
        <v>0</v>
      </c>
      <c r="I538" s="89">
        <f t="shared" si="40"/>
        <v>0</v>
      </c>
      <c r="J538" s="89">
        <f t="shared" si="40"/>
        <v>0</v>
      </c>
      <c r="K538" s="89">
        <f t="shared" si="40"/>
        <v>0</v>
      </c>
      <c r="L538" s="89">
        <f t="shared" si="40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36042.46</v>
      </c>
      <c r="I540" s="18"/>
      <c r="J540" s="18"/>
      <c r="K540" s="18"/>
      <c r="L540" s="88">
        <f>SUM(F540:K540)</f>
        <v>36042.46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 t="s">
        <v>287</v>
      </c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1">SUM(G540:G542)</f>
        <v>0</v>
      </c>
      <c r="H543" s="193">
        <f t="shared" si="41"/>
        <v>36042.46</v>
      </c>
      <c r="I543" s="193">
        <f t="shared" si="41"/>
        <v>0</v>
      </c>
      <c r="J543" s="193">
        <f t="shared" si="41"/>
        <v>0</v>
      </c>
      <c r="K543" s="193">
        <f t="shared" si="41"/>
        <v>0</v>
      </c>
      <c r="L543" s="193">
        <f t="shared" si="41"/>
        <v>36042.46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613256.04999999993</v>
      </c>
      <c r="G544" s="89">
        <f t="shared" ref="G544:L544" si="42">G523+G528+G533+G538+G543</f>
        <v>314672.31999999995</v>
      </c>
      <c r="H544" s="89">
        <f t="shared" si="42"/>
        <v>215430.35</v>
      </c>
      <c r="I544" s="89">
        <f t="shared" si="42"/>
        <v>5397.8300000000008</v>
      </c>
      <c r="J544" s="89">
        <f t="shared" si="42"/>
        <v>13845.22</v>
      </c>
      <c r="K544" s="89">
        <f t="shared" si="42"/>
        <v>600.95000000000005</v>
      </c>
      <c r="L544" s="89">
        <f t="shared" si="42"/>
        <v>1163202.7199999997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1046468.6599999998</v>
      </c>
      <c r="G548" s="87">
        <f>L525</f>
        <v>61142.6</v>
      </c>
      <c r="H548" s="87">
        <f>L530</f>
        <v>19549</v>
      </c>
      <c r="I548" s="87">
        <f>L535</f>
        <v>0</v>
      </c>
      <c r="J548" s="87">
        <f>L540</f>
        <v>36042.46</v>
      </c>
      <c r="K548" s="87">
        <f>SUM(F548:J548)</f>
        <v>1163202.7199999997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3">SUM(F548:F550)</f>
        <v>1046468.6599999998</v>
      </c>
      <c r="G551" s="89">
        <f t="shared" si="43"/>
        <v>61142.6</v>
      </c>
      <c r="H551" s="89">
        <f t="shared" si="43"/>
        <v>19549</v>
      </c>
      <c r="I551" s="89">
        <f t="shared" si="43"/>
        <v>0</v>
      </c>
      <c r="J551" s="89">
        <f t="shared" si="43"/>
        <v>36042.46</v>
      </c>
      <c r="K551" s="89">
        <f t="shared" si="43"/>
        <v>1163202.7199999997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4">SUM(F556:F558)</f>
        <v>0</v>
      </c>
      <c r="G559" s="108">
        <f t="shared" si="44"/>
        <v>0</v>
      </c>
      <c r="H559" s="108">
        <f t="shared" si="44"/>
        <v>0</v>
      </c>
      <c r="I559" s="108">
        <f t="shared" si="44"/>
        <v>0</v>
      </c>
      <c r="J559" s="108">
        <f t="shared" si="44"/>
        <v>0</v>
      </c>
      <c r="K559" s="108">
        <f t="shared" si="44"/>
        <v>0</v>
      </c>
      <c r="L559" s="89">
        <f t="shared" si="44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5">SUM(F561:F563)</f>
        <v>0</v>
      </c>
      <c r="G564" s="89">
        <f t="shared" si="45"/>
        <v>0</v>
      </c>
      <c r="H564" s="89">
        <f t="shared" si="45"/>
        <v>0</v>
      </c>
      <c r="I564" s="89">
        <f t="shared" si="45"/>
        <v>0</v>
      </c>
      <c r="J564" s="89">
        <f t="shared" si="45"/>
        <v>0</v>
      </c>
      <c r="K564" s="89">
        <f t="shared" si="45"/>
        <v>0</v>
      </c>
      <c r="L564" s="89">
        <f t="shared" si="45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6">SUM(G566:G568)</f>
        <v>0</v>
      </c>
      <c r="H569" s="193">
        <f t="shared" si="46"/>
        <v>0</v>
      </c>
      <c r="I569" s="193">
        <f t="shared" si="46"/>
        <v>0</v>
      </c>
      <c r="J569" s="193">
        <f t="shared" si="46"/>
        <v>0</v>
      </c>
      <c r="K569" s="193">
        <f t="shared" si="46"/>
        <v>0</v>
      </c>
      <c r="L569" s="193">
        <f t="shared" si="46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7">G559+G564+G569</f>
        <v>0</v>
      </c>
      <c r="H570" s="89">
        <f t="shared" si="47"/>
        <v>0</v>
      </c>
      <c r="I570" s="89">
        <f t="shared" si="47"/>
        <v>0</v>
      </c>
      <c r="J570" s="89">
        <f t="shared" si="47"/>
        <v>0</v>
      </c>
      <c r="K570" s="89">
        <f t="shared" si="47"/>
        <v>0</v>
      </c>
      <c r="L570" s="89">
        <f t="shared" si="47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f>1231557</f>
        <v>1231557</v>
      </c>
      <c r="I574" s="87">
        <f>SUM(F574:H574)</f>
        <v>1231557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>
        <v>0</v>
      </c>
      <c r="G575" s="18"/>
      <c r="H575" s="18"/>
      <c r="I575" s="87">
        <f t="shared" ref="I575:I586" si="48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8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f>5493.24</f>
        <v>5493.24</v>
      </c>
      <c r="G579" s="18"/>
      <c r="H579" s="18"/>
      <c r="I579" s="87">
        <f t="shared" si="48"/>
        <v>5493.24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1632+51000+12600</f>
        <v>65232</v>
      </c>
      <c r="G581" s="18"/>
      <c r="H581" s="18"/>
      <c r="I581" s="87">
        <f t="shared" si="48"/>
        <v>65232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8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161392+811.6+133.04-0.01-32604</f>
        <v>129732.63</v>
      </c>
      <c r="I590" s="18"/>
      <c r="J590" s="18">
        <v>32604</v>
      </c>
      <c r="K590" s="104">
        <f t="shared" ref="K590:K596" si="49">SUM(H590:J590)</f>
        <v>162336.63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36042.46</f>
        <v>36042.46</v>
      </c>
      <c r="I591" s="18"/>
      <c r="J591" s="18"/>
      <c r="K591" s="104">
        <f t="shared" si="49"/>
        <v>36042.46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9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f>4009.99</f>
        <v>4009.99</v>
      </c>
      <c r="I593" s="18"/>
      <c r="J593" s="18"/>
      <c r="K593" s="104">
        <f t="shared" si="49"/>
        <v>4009.99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9793.66</f>
        <v>9793.66</v>
      </c>
      <c r="I594" s="18"/>
      <c r="J594" s="18"/>
      <c r="K594" s="104">
        <f t="shared" si="49"/>
        <v>9793.66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9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179578.74</v>
      </c>
      <c r="I597" s="108">
        <f>SUM(I590:I596)</f>
        <v>0</v>
      </c>
      <c r="J597" s="108">
        <f>SUM(J590:J596)</f>
        <v>32604</v>
      </c>
      <c r="K597" s="108">
        <f>SUM(K590:K596)</f>
        <v>212182.74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3643.93+1171.41+7968.12+661.99+1656.18+644.74+230.72+3534.93+11068.81+1605</f>
        <v>32185.829999999994</v>
      </c>
      <c r="I603" s="18"/>
      <c r="J603" s="18"/>
      <c r="K603" s="104">
        <f>SUM(H603:J603)</f>
        <v>32185.829999999994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32185.829999999994</v>
      </c>
      <c r="I604" s="108">
        <f>SUM(I601:I603)</f>
        <v>0</v>
      </c>
      <c r="J604" s="108">
        <f>SUM(J601:J603)</f>
        <v>0</v>
      </c>
      <c r="K604" s="108">
        <f>SUM(K601:K603)</f>
        <v>32185.829999999994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0">SUM(F610:F612)</f>
        <v>0</v>
      </c>
      <c r="G613" s="108">
        <f t="shared" si="50"/>
        <v>0</v>
      </c>
      <c r="H613" s="108">
        <f t="shared" si="50"/>
        <v>0</v>
      </c>
      <c r="I613" s="108">
        <f t="shared" si="50"/>
        <v>0</v>
      </c>
      <c r="J613" s="108">
        <f t="shared" si="50"/>
        <v>0</v>
      </c>
      <c r="K613" s="108">
        <f t="shared" si="50"/>
        <v>0</v>
      </c>
      <c r="L613" s="89">
        <f t="shared" si="50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394733.3</v>
      </c>
      <c r="H616" s="109">
        <f>SUM(F51)</f>
        <v>394733.3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2365.92</v>
      </c>
      <c r="H617" s="109">
        <f>SUM(G51)</f>
        <v>2365.92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15057.39</v>
      </c>
      <c r="H618" s="109">
        <f>SUM(H51)</f>
        <v>15057.39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401690.49</v>
      </c>
      <c r="H620" s="109">
        <f>SUM(J51)</f>
        <v>401690.49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323420.68</v>
      </c>
      <c r="H621" s="109">
        <f>F475</f>
        <v>323420.68000000063</v>
      </c>
      <c r="I621" s="121" t="s">
        <v>101</v>
      </c>
      <c r="J621" s="109">
        <f t="shared" ref="J621:J654" si="51">G621-H621</f>
        <v>-6.4028427004814148E-10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2327.58</v>
      </c>
      <c r="H622" s="109">
        <f>G475</f>
        <v>2327.5800000000017</v>
      </c>
      <c r="I622" s="121" t="s">
        <v>102</v>
      </c>
      <c r="J622" s="109">
        <f t="shared" si="51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1200</v>
      </c>
      <c r="H623" s="109">
        <f>H475</f>
        <v>1200</v>
      </c>
      <c r="I623" s="121" t="s">
        <v>103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401690.49</v>
      </c>
      <c r="H625" s="109">
        <f>J475</f>
        <v>401690.49</v>
      </c>
      <c r="I625" s="140" t="s">
        <v>105</v>
      </c>
      <c r="J625" s="109">
        <f t="shared" si="51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5725043.0499999998</v>
      </c>
      <c r="H626" s="104">
        <f>SUM(F467)</f>
        <v>5725043.0499999998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73240.2</v>
      </c>
      <c r="H627" s="104">
        <f>SUM(G467)</f>
        <v>73240.2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93730.64</v>
      </c>
      <c r="H628" s="104">
        <f>SUM(H467)</f>
        <v>93730.64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575000</v>
      </c>
      <c r="H629" s="104">
        <f>SUM(I467)</f>
        <v>575000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91114.58</v>
      </c>
      <c r="H630" s="104">
        <f>SUM(J467)</f>
        <v>91114.58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5640656.6499999994</v>
      </c>
      <c r="H631" s="104">
        <f>SUM(F471)</f>
        <v>5640656.6499999994</v>
      </c>
      <c r="I631" s="140" t="s">
        <v>111</v>
      </c>
      <c r="J631" s="109">
        <f t="shared" si="51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93730.64</v>
      </c>
      <c r="H632" s="104">
        <f>SUM(H471)</f>
        <v>93730.64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4780.3100000000004</v>
      </c>
      <c r="H633" s="104">
        <f>I368</f>
        <v>4780.3100000000004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73259.37</v>
      </c>
      <c r="H634" s="104">
        <f>SUM(G471)</f>
        <v>73259.37</v>
      </c>
      <c r="I634" s="140" t="s">
        <v>114</v>
      </c>
      <c r="J634" s="109">
        <f t="shared" si="51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575000</v>
      </c>
      <c r="H635" s="104">
        <f>SUM(I471)</f>
        <v>575000</v>
      </c>
      <c r="I635" s="140" t="s">
        <v>116</v>
      </c>
      <c r="J635" s="109">
        <f t="shared" si="51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91114.58</v>
      </c>
      <c r="H636" s="164">
        <f>SUM(J467)</f>
        <v>91114.58</v>
      </c>
      <c r="I636" s="165" t="s">
        <v>110</v>
      </c>
      <c r="J636" s="151">
        <f t="shared" si="51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139787.63</v>
      </c>
      <c r="H638" s="104">
        <f>SUM(F460)</f>
        <v>139787.63</v>
      </c>
      <c r="I638" s="140" t="s">
        <v>857</v>
      </c>
      <c r="J638" s="109">
        <f t="shared" si="51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261902.86</v>
      </c>
      <c r="H639" s="104">
        <f>SUM(G460)</f>
        <v>261902.86</v>
      </c>
      <c r="I639" s="140" t="s">
        <v>858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401690.49</v>
      </c>
      <c r="H641" s="104">
        <f>SUM(I460)</f>
        <v>401690.49</v>
      </c>
      <c r="I641" s="140" t="s">
        <v>860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1114.58</v>
      </c>
      <c r="H643" s="104">
        <f>H407</f>
        <v>1114.58</v>
      </c>
      <c r="I643" s="140" t="s">
        <v>481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90000</v>
      </c>
      <c r="H644" s="104">
        <f>G407</f>
        <v>90000</v>
      </c>
      <c r="I644" s="140" t="s">
        <v>482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91114.58</v>
      </c>
      <c r="H645" s="104">
        <f>L407</f>
        <v>91114.58</v>
      </c>
      <c r="I645" s="140" t="s">
        <v>478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212182.74</v>
      </c>
      <c r="H646" s="104">
        <f>L207+L225+L243</f>
        <v>212182.74000000002</v>
      </c>
      <c r="I646" s="140" t="s">
        <v>397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32185.829999999994</v>
      </c>
      <c r="H647" s="104">
        <f>(J256+J337)-(J254+J335)</f>
        <v>32185.829999999998</v>
      </c>
      <c r="I647" s="140" t="s">
        <v>703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179578.74000000002</v>
      </c>
      <c r="H648" s="104">
        <f>H597</f>
        <v>179578.74</v>
      </c>
      <c r="I648" s="140" t="s">
        <v>389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32604</v>
      </c>
      <c r="H650" s="104">
        <f>J597</f>
        <v>32604</v>
      </c>
      <c r="I650" s="140" t="s">
        <v>391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24796.53</v>
      </c>
      <c r="H651" s="104">
        <f>K262+K344</f>
        <v>24796.53</v>
      </c>
      <c r="I651" s="140" t="s">
        <v>398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90000</v>
      </c>
      <c r="H654" s="104">
        <f>K265+K346</f>
        <v>90000</v>
      </c>
      <c r="I654" s="140" t="s">
        <v>401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4303961.0599999996</v>
      </c>
      <c r="G659" s="19">
        <f>(L228+L308+L358)</f>
        <v>0</v>
      </c>
      <c r="H659" s="19">
        <f>(L246+L327+L359)</f>
        <v>1264161</v>
      </c>
      <c r="I659" s="19">
        <f>SUM(F659:H659)</f>
        <v>5568122.0599999996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38020.089999999997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38020.089999999997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179578.74000000002</v>
      </c>
      <c r="G661" s="19">
        <f>(L225+L305)-(J225+J305)</f>
        <v>0</v>
      </c>
      <c r="H661" s="19">
        <f>(L243+L324)-(J243+J324)</f>
        <v>32604</v>
      </c>
      <c r="I661" s="19">
        <f>SUM(F661:H661)</f>
        <v>212182.74000000002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102911.07</v>
      </c>
      <c r="G662" s="199">
        <f>SUM(G574:G586)+SUM(I601:I603)+L611</f>
        <v>0</v>
      </c>
      <c r="H662" s="199">
        <f>SUM(H574:H586)+SUM(J601:J603)+L612</f>
        <v>1231557</v>
      </c>
      <c r="I662" s="19">
        <f>SUM(F662:H662)</f>
        <v>1334468.07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3983451.1599999997</v>
      </c>
      <c r="G663" s="19">
        <f>G659-SUM(G660:G662)</f>
        <v>0</v>
      </c>
      <c r="H663" s="19">
        <f>H659-SUM(H660:H662)</f>
        <v>0</v>
      </c>
      <c r="I663" s="19">
        <f>I659-SUM(I660:I662)</f>
        <v>3983451.1599999992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217.29</v>
      </c>
      <c r="G664" s="248"/>
      <c r="H664" s="248"/>
      <c r="I664" s="19">
        <f>SUM(F664:H664)</f>
        <v>217.29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18332.419999999998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18332.419999999998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18332.419999999998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18332.419999999998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Plainfield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1178177.42</v>
      </c>
      <c r="C9" s="229">
        <f>'DOE25'!G196+'DOE25'!G214+'DOE25'!G232+'DOE25'!G275+'DOE25'!G294+'DOE25'!G313</f>
        <v>443527.9</v>
      </c>
    </row>
    <row r="10" spans="1:3" x14ac:dyDescent="0.2">
      <c r="A10" t="s">
        <v>779</v>
      </c>
      <c r="B10" s="240">
        <v>1126859</v>
      </c>
      <c r="C10" s="240">
        <f>0.96*C9</f>
        <v>425786.78399999999</v>
      </c>
    </row>
    <row r="11" spans="1:3" x14ac:dyDescent="0.2">
      <c r="A11" t="s">
        <v>780</v>
      </c>
      <c r="B11" s="240">
        <f>10066.55+19662.42</f>
        <v>29728.969999999998</v>
      </c>
      <c r="C11" s="240">
        <f>0.03*C9</f>
        <v>13305.837</v>
      </c>
    </row>
    <row r="12" spans="1:3" x14ac:dyDescent="0.2">
      <c r="A12" t="s">
        <v>781</v>
      </c>
      <c r="B12" s="240">
        <f>20769.14+820.01+0.3</f>
        <v>21589.449999999997</v>
      </c>
      <c r="C12" s="274">
        <f>+C9-C10-C11</f>
        <v>4435.2790000000386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1178177.42</v>
      </c>
      <c r="C13" s="231">
        <f>SUM(C10:C12)</f>
        <v>443527.9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593707.04999999993</v>
      </c>
      <c r="C18" s="229">
        <f>'DOE25'!G197+'DOE25'!G215+'DOE25'!G233+'DOE25'!G276+'DOE25'!G295+'DOE25'!G314</f>
        <v>314672.31999999995</v>
      </c>
    </row>
    <row r="19" spans="1:3" x14ac:dyDescent="0.2">
      <c r="A19" t="s">
        <v>779</v>
      </c>
      <c r="B19" s="240">
        <f>263911.9+1840</f>
        <v>265751.90000000002</v>
      </c>
      <c r="C19" s="240">
        <f>+C18*0.45</f>
        <v>141602.54399999999</v>
      </c>
    </row>
    <row r="20" spans="1:3" x14ac:dyDescent="0.2">
      <c r="A20" t="s">
        <v>780</v>
      </c>
      <c r="B20" s="240">
        <f>12641+284908.6+9271.1</f>
        <v>306820.69999999995</v>
      </c>
      <c r="C20" s="240">
        <f>0.52*C18</f>
        <v>163629.60639999999</v>
      </c>
    </row>
    <row r="21" spans="1:3" x14ac:dyDescent="0.2">
      <c r="A21" t="s">
        <v>781</v>
      </c>
      <c r="B21" s="240">
        <f>13889.63+7244.85-0.03</f>
        <v>21134.45</v>
      </c>
      <c r="C21" s="274">
        <f>+C18-C19-C20</f>
        <v>9440.1695999999647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593707.04999999993</v>
      </c>
      <c r="C22" s="231">
        <f>SUM(C19:C21)</f>
        <v>314672.31999999995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26306.45</v>
      </c>
      <c r="C36" s="235">
        <f>'DOE25'!G199+'DOE25'!G217+'DOE25'!G235+'DOE25'!G278+'DOE25'!G297+'DOE25'!G316</f>
        <v>3004.82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26306.45</v>
      </c>
      <c r="C39" s="240">
        <f>+C36</f>
        <v>3004.82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26306.45</v>
      </c>
      <c r="C40" s="231">
        <f>SUM(C37:C39)</f>
        <v>3004.82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Plainfield School District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3997446.9099999997</v>
      </c>
      <c r="D5" s="20">
        <f>SUM('DOE25'!L196:L199)+SUM('DOE25'!L214:L217)+SUM('DOE25'!L232:L235)-F5-G5</f>
        <v>3980016.96</v>
      </c>
      <c r="E5" s="243"/>
      <c r="F5" s="255">
        <f>SUM('DOE25'!J196:J199)+SUM('DOE25'!J214:J217)+SUM('DOE25'!J232:J235)</f>
        <v>4815.34</v>
      </c>
      <c r="G5" s="53">
        <f>SUM('DOE25'!K196:K199)+SUM('DOE25'!K214:K217)+SUM('DOE25'!K232:K235)</f>
        <v>12614.61</v>
      </c>
      <c r="H5" s="259"/>
    </row>
    <row r="6" spans="1:9" x14ac:dyDescent="0.2">
      <c r="A6" s="32">
        <v>2100</v>
      </c>
      <c r="B6" t="s">
        <v>801</v>
      </c>
      <c r="C6" s="245">
        <f t="shared" si="0"/>
        <v>290843.61</v>
      </c>
      <c r="D6" s="20">
        <f>'DOE25'!L201+'DOE25'!L219+'DOE25'!L237-F6-G6</f>
        <v>282760.49</v>
      </c>
      <c r="E6" s="243"/>
      <c r="F6" s="255">
        <f>'DOE25'!J201+'DOE25'!J219+'DOE25'!J237</f>
        <v>7968.12</v>
      </c>
      <c r="G6" s="53">
        <f>'DOE25'!K201+'DOE25'!K219+'DOE25'!K237</f>
        <v>115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140471.89000000001</v>
      </c>
      <c r="D7" s="20">
        <f>'DOE25'!L202+'DOE25'!L220+'DOE25'!L238-F7-G7</f>
        <v>139809.90000000002</v>
      </c>
      <c r="E7" s="243"/>
      <c r="F7" s="255">
        <f>'DOE25'!J202+'DOE25'!J220+'DOE25'!J238</f>
        <v>661.99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95105.650000000038</v>
      </c>
      <c r="D8" s="243"/>
      <c r="E8" s="20">
        <f>'DOE25'!L203+'DOE25'!L221+'DOE25'!L239-F8-G8-D9-D11</f>
        <v>82781.420000000042</v>
      </c>
      <c r="F8" s="255">
        <f>'DOE25'!J203+'DOE25'!J221+'DOE25'!J239</f>
        <v>1656.18</v>
      </c>
      <c r="G8" s="53">
        <f>'DOE25'!K203+'DOE25'!K221+'DOE25'!K239</f>
        <v>10668.05</v>
      </c>
      <c r="H8" s="259"/>
    </row>
    <row r="9" spans="1:9" x14ac:dyDescent="0.2">
      <c r="A9" s="32">
        <v>2310</v>
      </c>
      <c r="B9" t="s">
        <v>818</v>
      </c>
      <c r="C9" s="245">
        <f t="shared" si="0"/>
        <v>27219.99</v>
      </c>
      <c r="D9" s="244">
        <f>1550+20159.24-8950+1330.02+3196.18+984.55+8950</f>
        <v>27219.99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8950</v>
      </c>
      <c r="D10" s="243"/>
      <c r="E10" s="244">
        <v>8950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70616.69</v>
      </c>
      <c r="D11" s="244">
        <v>70616.69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273433.09000000003</v>
      </c>
      <c r="D12" s="20">
        <f>'DOE25'!L204+'DOE25'!L222+'DOE25'!L240-F12-G12</f>
        <v>271279.35000000003</v>
      </c>
      <c r="E12" s="243"/>
      <c r="F12" s="255">
        <f>'DOE25'!J204+'DOE25'!J222+'DOE25'!J240</f>
        <v>644.74</v>
      </c>
      <c r="G12" s="53">
        <f>'DOE25'!K204+'DOE25'!K222+'DOE25'!K240</f>
        <v>1509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293811.48</v>
      </c>
      <c r="D14" s="20">
        <f>'DOE25'!L206+'DOE25'!L224+'DOE25'!L242-F14-G14</f>
        <v>293130.76</v>
      </c>
      <c r="E14" s="243"/>
      <c r="F14" s="255">
        <f>'DOE25'!J206+'DOE25'!J224+'DOE25'!J242</f>
        <v>230.72</v>
      </c>
      <c r="G14" s="53">
        <f>'DOE25'!K206+'DOE25'!K224+'DOE25'!K242</f>
        <v>450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212182.74000000002</v>
      </c>
      <c r="D15" s="20">
        <f>'DOE25'!L207+'DOE25'!L225+'DOE25'!L243-F15-G15</f>
        <v>212182.74000000002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7500</v>
      </c>
      <c r="D22" s="243"/>
      <c r="E22" s="243"/>
      <c r="F22" s="255">
        <f>'DOE25'!L254+'DOE25'!L335</f>
        <v>7500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117228.07</v>
      </c>
      <c r="D25" s="243"/>
      <c r="E25" s="243"/>
      <c r="F25" s="258"/>
      <c r="G25" s="256"/>
      <c r="H25" s="257">
        <f>'DOE25'!L259+'DOE25'!L260+'DOE25'!L340+'DOE25'!L341</f>
        <v>117228.07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69247.48</v>
      </c>
      <c r="D29" s="20">
        <f>'DOE25'!L357+'DOE25'!L358+'DOE25'!L359-'DOE25'!I366-F29-G29</f>
        <v>69247.48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93730.64</v>
      </c>
      <c r="D31" s="20">
        <f>'DOE25'!L289+'DOE25'!L308+'DOE25'!L327+'DOE25'!L332+'DOE25'!L333+'DOE25'!L334-F31-G31</f>
        <v>77521.899999999994</v>
      </c>
      <c r="E31" s="243"/>
      <c r="F31" s="255">
        <f>'DOE25'!J289+'DOE25'!J308+'DOE25'!J327+'DOE25'!J332+'DOE25'!J333+'DOE25'!J334</f>
        <v>16208.74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5423786.2600000016</v>
      </c>
      <c r="E33" s="246">
        <f>SUM(E5:E31)</f>
        <v>91731.420000000042</v>
      </c>
      <c r="F33" s="246">
        <f>SUM(F5:F31)</f>
        <v>39685.829999999994</v>
      </c>
      <c r="G33" s="246">
        <f>SUM(G5:G31)</f>
        <v>25356.66</v>
      </c>
      <c r="H33" s="246">
        <f>SUM(H5:H31)</f>
        <v>117228.07</v>
      </c>
    </row>
    <row r="35" spans="2:8" ht="12" thickBot="1" x14ac:dyDescent="0.25">
      <c r="B35" s="253" t="s">
        <v>847</v>
      </c>
      <c r="D35" s="254">
        <f>E33</f>
        <v>91731.420000000042</v>
      </c>
      <c r="E35" s="249"/>
    </row>
    <row r="36" spans="2:8" ht="12" thickTop="1" x14ac:dyDescent="0.2">
      <c r="B36" t="s">
        <v>815</v>
      </c>
      <c r="D36" s="20">
        <f>D33</f>
        <v>5423786.2600000016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Plainfield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336685.57</v>
      </c>
      <c r="D8" s="95" t="str">
        <f>'DOE25'!G9</f>
        <v xml:space="preserve"> </v>
      </c>
      <c r="E8" s="95" t="str">
        <f>'DOE25'!H9</f>
        <v xml:space="preserve"> 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42328.99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341690.49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13363.22</v>
      </c>
      <c r="D11" s="95">
        <f>'DOE25'!G12</f>
        <v>494.57</v>
      </c>
      <c r="E11" s="95" t="str">
        <f>'DOE25'!H12</f>
        <v xml:space="preserve"> 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 t="str">
        <f>'DOE25'!F13</f>
        <v xml:space="preserve"> </v>
      </c>
      <c r="D12" s="95">
        <f>'DOE25'!G13</f>
        <v>1871.35</v>
      </c>
      <c r="E12" s="95">
        <f>'DOE25'!H13</f>
        <v>15057.39</v>
      </c>
      <c r="F12" s="95">
        <f>'DOE25'!I13</f>
        <v>0</v>
      </c>
      <c r="G12" s="95">
        <f>'DOE25'!J13</f>
        <v>60000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2355.52</v>
      </c>
      <c r="D13" s="95">
        <f>'DOE25'!G14</f>
        <v>0</v>
      </c>
      <c r="E13" s="95" t="str">
        <f>'DOE25'!H14</f>
        <v xml:space="preserve"> 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 t="str">
        <f>'DOE25'!F17</f>
        <v xml:space="preserve"> 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394733.3</v>
      </c>
      <c r="D18" s="41">
        <f>SUM(D8:D17)</f>
        <v>2365.92</v>
      </c>
      <c r="E18" s="41">
        <f>SUM(E8:E17)</f>
        <v>15057.39</v>
      </c>
      <c r="F18" s="41">
        <f>SUM(F8:F17)</f>
        <v>0</v>
      </c>
      <c r="G18" s="41">
        <f>SUM(G8:G17)</f>
        <v>401690.49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 t="str">
        <f>'DOE25'!F22</f>
        <v xml:space="preserve"> </v>
      </c>
      <c r="D21" s="95" t="str">
        <f>'DOE25'!G22</f>
        <v xml:space="preserve"> </v>
      </c>
      <c r="E21" s="95">
        <f>'DOE25'!H22</f>
        <v>13857.39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60000</v>
      </c>
      <c r="D22" s="95" t="str">
        <f>'DOE25'!G23</f>
        <v xml:space="preserve"> 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10924.140000000014</v>
      </c>
      <c r="D23" s="95">
        <f>'DOE25'!G24</f>
        <v>38.340000000000003</v>
      </c>
      <c r="E23" s="95" t="str">
        <f>'DOE25'!H24</f>
        <v xml:space="preserve"> 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 t="str">
        <f>'DOE25'!F28</f>
        <v xml:space="preserve"> 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388.48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 t="str">
        <f>'DOE25'!G30</f>
        <v xml:space="preserve"> </v>
      </c>
      <c r="E29" s="95" t="str">
        <f>'DOE25'!H30</f>
        <v xml:space="preserve"> 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 t="str">
        <f>'DOE25'!F31</f>
        <v xml:space="preserve"> 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71312.62000000001</v>
      </c>
      <c r="D31" s="41">
        <f>SUM(D21:D30)</f>
        <v>38.340000000000003</v>
      </c>
      <c r="E31" s="41">
        <f>SUM(E21:E30)</f>
        <v>13857.39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 t="str">
        <f>'DOE25'!F36</f>
        <v xml:space="preserve"> 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2327.58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 t="str">
        <f>'DOE25'!F47</f>
        <v xml:space="preserve"> </v>
      </c>
      <c r="D46" s="95">
        <f>'DOE25'!G47</f>
        <v>0</v>
      </c>
      <c r="E46" s="95">
        <f>'DOE25'!H47</f>
        <v>1200</v>
      </c>
      <c r="F46" s="95">
        <f>'DOE25'!I47</f>
        <v>0</v>
      </c>
      <c r="G46" s="95">
        <f>'DOE25'!J47</f>
        <v>401690.49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93985.82</v>
      </c>
      <c r="D47" s="95" t="str">
        <f>'DOE25'!G48</f>
        <v xml:space="preserve"> </v>
      </c>
      <c r="E47" s="95" t="str">
        <f>'DOE25'!H48</f>
        <v xml:space="preserve"> 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214434.86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323420.68</v>
      </c>
      <c r="D49" s="41">
        <f>SUM(D34:D48)</f>
        <v>2327.58</v>
      </c>
      <c r="E49" s="41">
        <f>SUM(E34:E48)</f>
        <v>1200</v>
      </c>
      <c r="F49" s="41">
        <f>SUM(F34:F48)</f>
        <v>0</v>
      </c>
      <c r="G49" s="41">
        <f>SUM(G34:G48)</f>
        <v>401690.49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394733.3</v>
      </c>
      <c r="D50" s="41">
        <f>D49+D31</f>
        <v>2365.92</v>
      </c>
      <c r="E50" s="41">
        <f>E49+E31</f>
        <v>15057.39</v>
      </c>
      <c r="F50" s="41">
        <f>F49+F31</f>
        <v>0</v>
      </c>
      <c r="G50" s="41">
        <f>G49+G31</f>
        <v>401690.49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4116683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3209.6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255.94</v>
      </c>
      <c r="D58" s="95" t="str">
        <f>'DOE25'!G95</f>
        <v xml:space="preserve"> </v>
      </c>
      <c r="E58" s="95" t="str">
        <f>'DOE25'!H95</f>
        <v xml:space="preserve"> </v>
      </c>
      <c r="F58" s="95">
        <f>'DOE25'!I95</f>
        <v>0</v>
      </c>
      <c r="G58" s="95">
        <f>'DOE25'!J95</f>
        <v>1114.58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38020.089999999997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53847.25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57312.79</v>
      </c>
      <c r="D61" s="130">
        <f>SUM(D56:D60)</f>
        <v>38020.089999999997</v>
      </c>
      <c r="E61" s="130">
        <f>SUM(E56:E60)</f>
        <v>0</v>
      </c>
      <c r="F61" s="130">
        <f>SUM(F56:F60)</f>
        <v>0</v>
      </c>
      <c r="G61" s="130">
        <f>SUM(G56:G60)</f>
        <v>1114.58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4173995.79</v>
      </c>
      <c r="D62" s="22">
        <f>D55+D61</f>
        <v>38020.089999999997</v>
      </c>
      <c r="E62" s="22">
        <f>E55+E61</f>
        <v>0</v>
      </c>
      <c r="F62" s="22">
        <f>F55+F61</f>
        <v>0</v>
      </c>
      <c r="G62" s="22">
        <f>G55+G61</f>
        <v>1114.58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794931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669831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1856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1466618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31502.34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 t="str">
        <f>'DOE25'!F125</f>
        <v xml:space="preserve"> 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560.24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31502.34</v>
      </c>
      <c r="D77" s="130">
        <f>SUM(D71:D76)</f>
        <v>560.24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1498120.34</v>
      </c>
      <c r="D80" s="130">
        <f>SUM(D78:D79)+D77+D69</f>
        <v>560.24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26969.42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52926.92</v>
      </c>
      <c r="D87" s="95">
        <f>SUM('DOE25'!G152:G160)</f>
        <v>9863.34</v>
      </c>
      <c r="E87" s="95">
        <f>SUM('DOE25'!H152:H160)</f>
        <v>66761.22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52926.92</v>
      </c>
      <c r="D90" s="131">
        <f>SUM(D84:D89)</f>
        <v>9863.34</v>
      </c>
      <c r="E90" s="131">
        <f>SUM(E84:E89)</f>
        <v>93730.64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575000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24796.53</v>
      </c>
      <c r="E95" s="95">
        <f>'DOE25'!H178</f>
        <v>0</v>
      </c>
      <c r="F95" s="95">
        <f>'DOE25'!I178</f>
        <v>0</v>
      </c>
      <c r="G95" s="95">
        <f>'DOE25'!J178</f>
        <v>90000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24796.53</v>
      </c>
      <c r="E102" s="86">
        <f>SUM(E92:E101)</f>
        <v>0</v>
      </c>
      <c r="F102" s="86">
        <f>SUM(F92:F101)</f>
        <v>575000</v>
      </c>
      <c r="G102" s="86">
        <f>SUM(G92:G101)</f>
        <v>90000</v>
      </c>
    </row>
    <row r="103" spans="1:7" ht="12.75" thickTop="1" thickBot="1" x14ac:dyDescent="0.25">
      <c r="A103" s="33" t="s">
        <v>765</v>
      </c>
      <c r="C103" s="86">
        <f>C62+C80+C90+C102</f>
        <v>5725043.0499999998</v>
      </c>
      <c r="D103" s="86">
        <f>D62+D80+D90+D102</f>
        <v>73240.2</v>
      </c>
      <c r="E103" s="86">
        <f>E62+E80+E90+E102</f>
        <v>93730.64</v>
      </c>
      <c r="F103" s="86">
        <f>F62+F80+F90+F102</f>
        <v>575000</v>
      </c>
      <c r="G103" s="86">
        <f>G62+G80+G102</f>
        <v>91114.58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2982209.08</v>
      </c>
      <c r="D108" s="24" t="s">
        <v>289</v>
      </c>
      <c r="E108" s="95">
        <f>('DOE25'!L275)+('DOE25'!L294)+('DOE25'!L313)</f>
        <v>26521.43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979707.43999999983</v>
      </c>
      <c r="D109" s="24" t="s">
        <v>289</v>
      </c>
      <c r="E109" s="95">
        <f>('DOE25'!L276)+('DOE25'!L295)+('DOE25'!L314)</f>
        <v>66761.22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35530.39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3997446.91</v>
      </c>
      <c r="D114" s="86">
        <f>SUM(D108:D113)</f>
        <v>0</v>
      </c>
      <c r="E114" s="86">
        <f>SUM(E108:E113)</f>
        <v>93282.65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290843.61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140471.89000000001</v>
      </c>
      <c r="D118" s="24" t="s">
        <v>289</v>
      </c>
      <c r="E118" s="95">
        <f>+('DOE25'!L281)+('DOE25'!L300)+('DOE25'!L319)</f>
        <v>447.99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192942.33000000002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273433.09000000003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293811.48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212182.74000000002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73259.37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1403685.1400000001</v>
      </c>
      <c r="D127" s="86">
        <f>SUM(D117:D126)</f>
        <v>73259.37</v>
      </c>
      <c r="E127" s="86">
        <f>SUM(E117:E126)</f>
        <v>447.99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7500</v>
      </c>
      <c r="D129" s="24" t="s">
        <v>289</v>
      </c>
      <c r="E129" s="129">
        <f>'DOE25'!L335</f>
        <v>0</v>
      </c>
      <c r="F129" s="129">
        <f>SUM('DOE25'!L373:'DOE25'!L379)</f>
        <v>575000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95000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22228.07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24796.53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30418.58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60696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-1114.5800000000017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239524.59999999998</v>
      </c>
      <c r="D143" s="141">
        <f>SUM(D129:D142)</f>
        <v>0</v>
      </c>
      <c r="E143" s="141">
        <f>SUM(E129:E142)</f>
        <v>0</v>
      </c>
      <c r="F143" s="141">
        <f>SUM(F129:F142)</f>
        <v>575000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5640656.6500000004</v>
      </c>
      <c r="D144" s="86">
        <f>(D114+D127+D143)</f>
        <v>73259.37</v>
      </c>
      <c r="E144" s="86">
        <f>(E114+E127+E143)</f>
        <v>93730.64</v>
      </c>
      <c r="F144" s="86">
        <f>(F114+F127+F143)</f>
        <v>575000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5</v>
      </c>
      <c r="C150" s="153">
        <f>'DOE25'!G489</f>
        <v>10</v>
      </c>
      <c r="D150" s="153">
        <f>'DOE25'!H489</f>
        <v>10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7/07</v>
      </c>
      <c r="C151" s="152" t="str">
        <f>'DOE25'!G490</f>
        <v>12/10</v>
      </c>
      <c r="D151" s="152" t="str">
        <f>'DOE25'!H490</f>
        <v>7/19/12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8/12</v>
      </c>
      <c r="C152" s="152" t="str">
        <f>'DOE25'!G491</f>
        <v>1/21</v>
      </c>
      <c r="D152" s="152" t="str">
        <f>'DOE25'!H491</f>
        <v>8/22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300000</v>
      </c>
      <c r="C153" s="137">
        <f>'DOE25'!G492</f>
        <v>314800</v>
      </c>
      <c r="D153" s="137">
        <f>'DOE25'!H492</f>
        <v>543500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4.08</v>
      </c>
      <c r="C154" s="137">
        <f>'DOE25'!G493</f>
        <v>3</v>
      </c>
      <c r="D154" s="137">
        <f>'DOE25'!H493</f>
        <v>2.3315000000000001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60000</v>
      </c>
      <c r="C155" s="137">
        <f>'DOE25'!G494</f>
        <v>280000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340000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575000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575000</v>
      </c>
    </row>
    <row r="157" spans="1:9" x14ac:dyDescent="0.2">
      <c r="A157" s="22" t="s">
        <v>34</v>
      </c>
      <c r="B157" s="137">
        <f>'DOE25'!F496</f>
        <v>60000</v>
      </c>
      <c r="C157" s="137">
        <f>'DOE25'!G496</f>
        <v>35000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95000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245000</v>
      </c>
      <c r="D158" s="137">
        <f>'DOE25'!H497</f>
        <v>575000</v>
      </c>
      <c r="E158" s="137">
        <f>'DOE25'!I497</f>
        <v>0</v>
      </c>
      <c r="F158" s="137">
        <f>'DOE25'!J497</f>
        <v>0</v>
      </c>
      <c r="G158" s="138">
        <f t="shared" si="0"/>
        <v>820000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43049.999999999993</v>
      </c>
      <c r="D159" s="137">
        <f>'DOE25'!H498</f>
        <v>93458.75</v>
      </c>
      <c r="E159" s="137">
        <f>'DOE25'!I498</f>
        <v>0</v>
      </c>
      <c r="F159" s="137">
        <f>'DOE25'!J498</f>
        <v>0</v>
      </c>
      <c r="G159" s="138">
        <f t="shared" si="0"/>
        <v>136508.75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288050</v>
      </c>
      <c r="D160" s="137">
        <f>'DOE25'!H499</f>
        <v>668458.75</v>
      </c>
      <c r="E160" s="137">
        <f>'DOE25'!I499</f>
        <v>0</v>
      </c>
      <c r="F160" s="137">
        <f>'DOE25'!J499</f>
        <v>0</v>
      </c>
      <c r="G160" s="138">
        <f t="shared" si="0"/>
        <v>956508.75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35000</v>
      </c>
      <c r="D161" s="137">
        <f>'DOE25'!H500</f>
        <v>58500</v>
      </c>
      <c r="E161" s="137">
        <f>'DOE25'!I500</f>
        <v>0</v>
      </c>
      <c r="F161" s="137">
        <f>'DOE25'!J500</f>
        <v>0</v>
      </c>
      <c r="G161" s="138">
        <f t="shared" si="0"/>
        <v>93500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9450</v>
      </c>
      <c r="D162" s="137">
        <f>'DOE25'!H501</f>
        <v>17390</v>
      </c>
      <c r="E162" s="137">
        <f>'DOE25'!I501</f>
        <v>0</v>
      </c>
      <c r="F162" s="137">
        <f>'DOE25'!J501</f>
        <v>0</v>
      </c>
      <c r="G162" s="138">
        <f t="shared" si="0"/>
        <v>26840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44450</v>
      </c>
      <c r="D163" s="137">
        <f>'DOE25'!H502</f>
        <v>75890</v>
      </c>
      <c r="E163" s="137">
        <f>'DOE25'!I502</f>
        <v>0</v>
      </c>
      <c r="F163" s="137">
        <f>'DOE25'!J502</f>
        <v>0</v>
      </c>
      <c r="G163" s="138">
        <f t="shared" si="0"/>
        <v>120340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Plainfield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18332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18332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3008731</v>
      </c>
      <c r="D10" s="182">
        <f>ROUND((C10/$C$28)*100,1)</f>
        <v>54.2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1046469</v>
      </c>
      <c r="D11" s="182">
        <f>ROUND((C11/$C$28)*100,1)</f>
        <v>18.8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35530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290844</v>
      </c>
      <c r="D15" s="182">
        <f t="shared" ref="D15:D27" si="0">ROUND((C15/$C$28)*100,1)</f>
        <v>5.2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140920</v>
      </c>
      <c r="D16" s="182">
        <f t="shared" si="0"/>
        <v>2.5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192942</v>
      </c>
      <c r="D17" s="182">
        <f t="shared" si="0"/>
        <v>3.5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273433</v>
      </c>
      <c r="D18" s="182">
        <f t="shared" si="0"/>
        <v>4.9000000000000004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293811</v>
      </c>
      <c r="D20" s="182">
        <f t="shared" si="0"/>
        <v>5.3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212183</v>
      </c>
      <c r="D21" s="182">
        <f t="shared" si="0"/>
        <v>3.8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22228</v>
      </c>
      <c r="D25" s="182">
        <f t="shared" si="0"/>
        <v>0.4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35238.910000000003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5552329.9100000001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582500</v>
      </c>
    </row>
    <row r="30" spans="1:4" x14ac:dyDescent="0.2">
      <c r="B30" s="187" t="s">
        <v>729</v>
      </c>
      <c r="C30" s="180">
        <f>SUM(C28:C29)</f>
        <v>6134829.9100000001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95000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4116683</v>
      </c>
      <c r="D35" s="182">
        <f t="shared" ref="D35:D40" si="1">ROUND((C35/$C$41)*100,1)</f>
        <v>70.599999999999994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58427.370000000112</v>
      </c>
      <c r="D36" s="182">
        <f t="shared" si="1"/>
        <v>1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1464762</v>
      </c>
      <c r="D37" s="182">
        <f t="shared" si="1"/>
        <v>25.1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33919</v>
      </c>
      <c r="D38" s="182">
        <f t="shared" si="1"/>
        <v>0.6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156521</v>
      </c>
      <c r="D39" s="182">
        <f t="shared" si="1"/>
        <v>2.7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5830312.3700000001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575000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6" sqref="C6:M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770</v>
      </c>
      <c r="B1" s="290"/>
      <c r="C1" s="290"/>
      <c r="D1" s="290"/>
      <c r="E1" s="290"/>
      <c r="F1" s="290"/>
      <c r="G1" s="290"/>
      <c r="H1" s="290"/>
      <c r="I1" s="290"/>
      <c r="J1" s="213"/>
      <c r="K1" s="213"/>
      <c r="L1" s="213"/>
      <c r="M1" s="214"/>
    </row>
    <row r="2" spans="1:26" ht="12.75" x14ac:dyDescent="0.2">
      <c r="A2" s="295" t="s">
        <v>767</v>
      </c>
      <c r="B2" s="296"/>
      <c r="C2" s="296"/>
      <c r="D2" s="296"/>
      <c r="E2" s="296"/>
      <c r="F2" s="293" t="str">
        <f>'DOE25'!A2</f>
        <v>Plainfield School District</v>
      </c>
      <c r="G2" s="294"/>
      <c r="H2" s="294"/>
      <c r="I2" s="294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1" t="s">
        <v>771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8">
        <v>20</v>
      </c>
      <c r="B4" s="219">
        <v>4</v>
      </c>
      <c r="C4" s="287" t="s">
        <v>916</v>
      </c>
      <c r="D4" s="287"/>
      <c r="E4" s="287"/>
      <c r="F4" s="287"/>
      <c r="G4" s="287"/>
      <c r="H4" s="287"/>
      <c r="I4" s="287"/>
      <c r="J4" s="287"/>
      <c r="K4" s="287"/>
      <c r="L4" s="287"/>
      <c r="M4" s="288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20</v>
      </c>
      <c r="B5" s="219">
        <v>4</v>
      </c>
      <c r="C5" s="287" t="s">
        <v>917</v>
      </c>
      <c r="D5" s="287"/>
      <c r="E5" s="287"/>
      <c r="F5" s="287"/>
      <c r="G5" s="287"/>
      <c r="H5" s="287"/>
      <c r="I5" s="287"/>
      <c r="J5" s="287"/>
      <c r="K5" s="287"/>
      <c r="L5" s="287"/>
      <c r="M5" s="288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8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8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8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8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8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8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8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8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8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8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8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8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8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8"/>
      <c r="N29" s="211"/>
      <c r="O29" s="211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07"/>
      <c r="AB29" s="207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07"/>
      <c r="AO29" s="207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07"/>
      <c r="BB29" s="207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07"/>
      <c r="BO29" s="207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07"/>
      <c r="CB29" s="207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07"/>
      <c r="CO29" s="207"/>
      <c r="CP29" s="285"/>
      <c r="CQ29" s="285"/>
      <c r="CR29" s="285"/>
      <c r="CS29" s="285"/>
      <c r="CT29" s="285"/>
      <c r="CU29" s="285"/>
      <c r="CV29" s="285"/>
      <c r="CW29" s="285"/>
      <c r="CX29" s="285"/>
      <c r="CY29" s="285"/>
      <c r="CZ29" s="285"/>
      <c r="DA29" s="207"/>
      <c r="DB29" s="207"/>
      <c r="DC29" s="285"/>
      <c r="DD29" s="285"/>
      <c r="DE29" s="285"/>
      <c r="DF29" s="285"/>
      <c r="DG29" s="285"/>
      <c r="DH29" s="285"/>
      <c r="DI29" s="285"/>
      <c r="DJ29" s="285"/>
      <c r="DK29" s="285"/>
      <c r="DL29" s="285"/>
      <c r="DM29" s="285"/>
      <c r="DN29" s="207"/>
      <c r="DO29" s="207"/>
      <c r="DP29" s="285"/>
      <c r="DQ29" s="285"/>
      <c r="DR29" s="285"/>
      <c r="DS29" s="285"/>
      <c r="DT29" s="285"/>
      <c r="DU29" s="285"/>
      <c r="DV29" s="285"/>
      <c r="DW29" s="285"/>
      <c r="DX29" s="285"/>
      <c r="DY29" s="285"/>
      <c r="DZ29" s="285"/>
      <c r="EA29" s="207"/>
      <c r="EB29" s="207"/>
      <c r="EC29" s="285"/>
      <c r="ED29" s="285"/>
      <c r="EE29" s="285"/>
      <c r="EF29" s="285"/>
      <c r="EG29" s="285"/>
      <c r="EH29" s="285"/>
      <c r="EI29" s="285"/>
      <c r="EJ29" s="285"/>
      <c r="EK29" s="285"/>
      <c r="EL29" s="285"/>
      <c r="EM29" s="285"/>
      <c r="EN29" s="207"/>
      <c r="EO29" s="207"/>
      <c r="EP29" s="285"/>
      <c r="EQ29" s="285"/>
      <c r="ER29" s="285"/>
      <c r="ES29" s="285"/>
      <c r="ET29" s="285"/>
      <c r="EU29" s="285"/>
      <c r="EV29" s="285"/>
      <c r="EW29" s="285"/>
      <c r="EX29" s="285"/>
      <c r="EY29" s="285"/>
      <c r="EZ29" s="285"/>
      <c r="FA29" s="207"/>
      <c r="FB29" s="207"/>
      <c r="FC29" s="285"/>
      <c r="FD29" s="285"/>
      <c r="FE29" s="285"/>
      <c r="FF29" s="285"/>
      <c r="FG29" s="285"/>
      <c r="FH29" s="285"/>
      <c r="FI29" s="285"/>
      <c r="FJ29" s="285"/>
      <c r="FK29" s="285"/>
      <c r="FL29" s="285"/>
      <c r="FM29" s="285"/>
      <c r="FN29" s="207"/>
      <c r="FO29" s="207"/>
      <c r="FP29" s="285"/>
      <c r="FQ29" s="285"/>
      <c r="FR29" s="285"/>
      <c r="FS29" s="285"/>
      <c r="FT29" s="285"/>
      <c r="FU29" s="285"/>
      <c r="FV29" s="285"/>
      <c r="FW29" s="285"/>
      <c r="FX29" s="285"/>
      <c r="FY29" s="285"/>
      <c r="FZ29" s="285"/>
      <c r="GA29" s="207"/>
      <c r="GB29" s="207"/>
      <c r="GC29" s="285"/>
      <c r="GD29" s="285"/>
      <c r="GE29" s="285"/>
      <c r="GF29" s="285"/>
      <c r="GG29" s="285"/>
      <c r="GH29" s="285"/>
      <c r="GI29" s="285"/>
      <c r="GJ29" s="285"/>
      <c r="GK29" s="285"/>
      <c r="GL29" s="285"/>
      <c r="GM29" s="285"/>
      <c r="GN29" s="207"/>
      <c r="GO29" s="207"/>
      <c r="GP29" s="285"/>
      <c r="GQ29" s="285"/>
      <c r="GR29" s="285"/>
      <c r="GS29" s="285"/>
      <c r="GT29" s="285"/>
      <c r="GU29" s="285"/>
      <c r="GV29" s="285"/>
      <c r="GW29" s="285"/>
      <c r="GX29" s="285"/>
      <c r="GY29" s="285"/>
      <c r="GZ29" s="285"/>
      <c r="HA29" s="207"/>
      <c r="HB29" s="207"/>
      <c r="HC29" s="285"/>
      <c r="HD29" s="285"/>
      <c r="HE29" s="285"/>
      <c r="HF29" s="285"/>
      <c r="HG29" s="285"/>
      <c r="HH29" s="285"/>
      <c r="HI29" s="285"/>
      <c r="HJ29" s="285"/>
      <c r="HK29" s="285"/>
      <c r="HL29" s="285"/>
      <c r="HM29" s="285"/>
      <c r="HN29" s="207"/>
      <c r="HO29" s="207"/>
      <c r="HP29" s="285"/>
      <c r="HQ29" s="285"/>
      <c r="HR29" s="285"/>
      <c r="HS29" s="285"/>
      <c r="HT29" s="285"/>
      <c r="HU29" s="285"/>
      <c r="HV29" s="285"/>
      <c r="HW29" s="285"/>
      <c r="HX29" s="285"/>
      <c r="HY29" s="285"/>
      <c r="HZ29" s="285"/>
      <c r="IA29" s="207"/>
      <c r="IB29" s="207"/>
      <c r="IC29" s="285"/>
      <c r="ID29" s="285"/>
      <c r="IE29" s="285"/>
      <c r="IF29" s="285"/>
      <c r="IG29" s="285"/>
      <c r="IH29" s="285"/>
      <c r="II29" s="285"/>
      <c r="IJ29" s="285"/>
      <c r="IK29" s="285"/>
      <c r="IL29" s="285"/>
      <c r="IM29" s="285"/>
      <c r="IN29" s="207"/>
      <c r="IO29" s="207"/>
      <c r="IP29" s="285"/>
      <c r="IQ29" s="285"/>
      <c r="IR29" s="285"/>
      <c r="IS29" s="285"/>
      <c r="IT29" s="285"/>
      <c r="IU29" s="285"/>
      <c r="IV29" s="285"/>
    </row>
    <row r="30" spans="1:256" x14ac:dyDescent="0.2">
      <c r="A30" s="218"/>
      <c r="B30" s="219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8"/>
      <c r="N30" s="211"/>
      <c r="O30" s="211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07"/>
      <c r="AB30" s="207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07"/>
      <c r="AO30" s="207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07"/>
      <c r="BB30" s="207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07"/>
      <c r="BO30" s="207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07"/>
      <c r="CB30" s="207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07"/>
      <c r="CO30" s="207"/>
      <c r="CP30" s="285"/>
      <c r="CQ30" s="285"/>
      <c r="CR30" s="285"/>
      <c r="CS30" s="285"/>
      <c r="CT30" s="285"/>
      <c r="CU30" s="285"/>
      <c r="CV30" s="285"/>
      <c r="CW30" s="285"/>
      <c r="CX30" s="285"/>
      <c r="CY30" s="285"/>
      <c r="CZ30" s="285"/>
      <c r="DA30" s="207"/>
      <c r="DB30" s="207"/>
      <c r="DC30" s="285"/>
      <c r="DD30" s="285"/>
      <c r="DE30" s="285"/>
      <c r="DF30" s="285"/>
      <c r="DG30" s="285"/>
      <c r="DH30" s="285"/>
      <c r="DI30" s="285"/>
      <c r="DJ30" s="285"/>
      <c r="DK30" s="285"/>
      <c r="DL30" s="285"/>
      <c r="DM30" s="285"/>
      <c r="DN30" s="207"/>
      <c r="DO30" s="207"/>
      <c r="DP30" s="285"/>
      <c r="DQ30" s="285"/>
      <c r="DR30" s="285"/>
      <c r="DS30" s="285"/>
      <c r="DT30" s="285"/>
      <c r="DU30" s="285"/>
      <c r="DV30" s="285"/>
      <c r="DW30" s="285"/>
      <c r="DX30" s="285"/>
      <c r="DY30" s="285"/>
      <c r="DZ30" s="285"/>
      <c r="EA30" s="207"/>
      <c r="EB30" s="207"/>
      <c r="EC30" s="285"/>
      <c r="ED30" s="285"/>
      <c r="EE30" s="285"/>
      <c r="EF30" s="285"/>
      <c r="EG30" s="285"/>
      <c r="EH30" s="285"/>
      <c r="EI30" s="285"/>
      <c r="EJ30" s="285"/>
      <c r="EK30" s="285"/>
      <c r="EL30" s="285"/>
      <c r="EM30" s="285"/>
      <c r="EN30" s="207"/>
      <c r="EO30" s="207"/>
      <c r="EP30" s="285"/>
      <c r="EQ30" s="285"/>
      <c r="ER30" s="285"/>
      <c r="ES30" s="285"/>
      <c r="ET30" s="285"/>
      <c r="EU30" s="285"/>
      <c r="EV30" s="285"/>
      <c r="EW30" s="285"/>
      <c r="EX30" s="285"/>
      <c r="EY30" s="285"/>
      <c r="EZ30" s="285"/>
      <c r="FA30" s="207"/>
      <c r="FB30" s="207"/>
      <c r="FC30" s="285"/>
      <c r="FD30" s="285"/>
      <c r="FE30" s="285"/>
      <c r="FF30" s="285"/>
      <c r="FG30" s="285"/>
      <c r="FH30" s="285"/>
      <c r="FI30" s="285"/>
      <c r="FJ30" s="285"/>
      <c r="FK30" s="285"/>
      <c r="FL30" s="285"/>
      <c r="FM30" s="285"/>
      <c r="FN30" s="207"/>
      <c r="FO30" s="207"/>
      <c r="FP30" s="285"/>
      <c r="FQ30" s="285"/>
      <c r="FR30" s="285"/>
      <c r="FS30" s="285"/>
      <c r="FT30" s="285"/>
      <c r="FU30" s="285"/>
      <c r="FV30" s="285"/>
      <c r="FW30" s="285"/>
      <c r="FX30" s="285"/>
      <c r="FY30" s="285"/>
      <c r="FZ30" s="285"/>
      <c r="GA30" s="207"/>
      <c r="GB30" s="207"/>
      <c r="GC30" s="285"/>
      <c r="GD30" s="285"/>
      <c r="GE30" s="285"/>
      <c r="GF30" s="285"/>
      <c r="GG30" s="285"/>
      <c r="GH30" s="285"/>
      <c r="GI30" s="285"/>
      <c r="GJ30" s="285"/>
      <c r="GK30" s="285"/>
      <c r="GL30" s="285"/>
      <c r="GM30" s="285"/>
      <c r="GN30" s="207"/>
      <c r="GO30" s="207"/>
      <c r="GP30" s="285"/>
      <c r="GQ30" s="285"/>
      <c r="GR30" s="285"/>
      <c r="GS30" s="285"/>
      <c r="GT30" s="285"/>
      <c r="GU30" s="285"/>
      <c r="GV30" s="285"/>
      <c r="GW30" s="285"/>
      <c r="GX30" s="285"/>
      <c r="GY30" s="285"/>
      <c r="GZ30" s="285"/>
      <c r="HA30" s="207"/>
      <c r="HB30" s="207"/>
      <c r="HC30" s="285"/>
      <c r="HD30" s="285"/>
      <c r="HE30" s="285"/>
      <c r="HF30" s="285"/>
      <c r="HG30" s="285"/>
      <c r="HH30" s="285"/>
      <c r="HI30" s="285"/>
      <c r="HJ30" s="285"/>
      <c r="HK30" s="285"/>
      <c r="HL30" s="285"/>
      <c r="HM30" s="285"/>
      <c r="HN30" s="207"/>
      <c r="HO30" s="207"/>
      <c r="HP30" s="285"/>
      <c r="HQ30" s="285"/>
      <c r="HR30" s="285"/>
      <c r="HS30" s="285"/>
      <c r="HT30" s="285"/>
      <c r="HU30" s="285"/>
      <c r="HV30" s="285"/>
      <c r="HW30" s="285"/>
      <c r="HX30" s="285"/>
      <c r="HY30" s="285"/>
      <c r="HZ30" s="285"/>
      <c r="IA30" s="207"/>
      <c r="IB30" s="207"/>
      <c r="IC30" s="285"/>
      <c r="ID30" s="285"/>
      <c r="IE30" s="285"/>
      <c r="IF30" s="285"/>
      <c r="IG30" s="285"/>
      <c r="IH30" s="285"/>
      <c r="II30" s="285"/>
      <c r="IJ30" s="285"/>
      <c r="IK30" s="285"/>
      <c r="IL30" s="285"/>
      <c r="IM30" s="285"/>
      <c r="IN30" s="207"/>
      <c r="IO30" s="207"/>
      <c r="IP30" s="285"/>
      <c r="IQ30" s="285"/>
      <c r="IR30" s="285"/>
      <c r="IS30" s="285"/>
      <c r="IT30" s="285"/>
      <c r="IU30" s="285"/>
      <c r="IV30" s="285"/>
    </row>
    <row r="31" spans="1:256" x14ac:dyDescent="0.2">
      <c r="A31" s="218"/>
      <c r="B31" s="219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8"/>
      <c r="N31" s="211"/>
      <c r="O31" s="211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07"/>
      <c r="AB31" s="207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07"/>
      <c r="AO31" s="207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07"/>
      <c r="BB31" s="207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07"/>
      <c r="BO31" s="207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07"/>
      <c r="CB31" s="207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07"/>
      <c r="CO31" s="207"/>
      <c r="CP31" s="285"/>
      <c r="CQ31" s="285"/>
      <c r="CR31" s="285"/>
      <c r="CS31" s="285"/>
      <c r="CT31" s="285"/>
      <c r="CU31" s="285"/>
      <c r="CV31" s="285"/>
      <c r="CW31" s="285"/>
      <c r="CX31" s="285"/>
      <c r="CY31" s="285"/>
      <c r="CZ31" s="285"/>
      <c r="DA31" s="207"/>
      <c r="DB31" s="207"/>
      <c r="DC31" s="285"/>
      <c r="DD31" s="285"/>
      <c r="DE31" s="285"/>
      <c r="DF31" s="285"/>
      <c r="DG31" s="285"/>
      <c r="DH31" s="285"/>
      <c r="DI31" s="285"/>
      <c r="DJ31" s="285"/>
      <c r="DK31" s="285"/>
      <c r="DL31" s="285"/>
      <c r="DM31" s="285"/>
      <c r="DN31" s="207"/>
      <c r="DO31" s="207"/>
      <c r="DP31" s="285"/>
      <c r="DQ31" s="285"/>
      <c r="DR31" s="285"/>
      <c r="DS31" s="285"/>
      <c r="DT31" s="285"/>
      <c r="DU31" s="285"/>
      <c r="DV31" s="285"/>
      <c r="DW31" s="285"/>
      <c r="DX31" s="285"/>
      <c r="DY31" s="285"/>
      <c r="DZ31" s="285"/>
      <c r="EA31" s="207"/>
      <c r="EB31" s="207"/>
      <c r="EC31" s="285"/>
      <c r="ED31" s="285"/>
      <c r="EE31" s="285"/>
      <c r="EF31" s="285"/>
      <c r="EG31" s="285"/>
      <c r="EH31" s="285"/>
      <c r="EI31" s="285"/>
      <c r="EJ31" s="285"/>
      <c r="EK31" s="285"/>
      <c r="EL31" s="285"/>
      <c r="EM31" s="285"/>
      <c r="EN31" s="207"/>
      <c r="EO31" s="207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07"/>
      <c r="FB31" s="207"/>
      <c r="FC31" s="285"/>
      <c r="FD31" s="285"/>
      <c r="FE31" s="285"/>
      <c r="FF31" s="285"/>
      <c r="FG31" s="285"/>
      <c r="FH31" s="285"/>
      <c r="FI31" s="285"/>
      <c r="FJ31" s="285"/>
      <c r="FK31" s="285"/>
      <c r="FL31" s="285"/>
      <c r="FM31" s="285"/>
      <c r="FN31" s="207"/>
      <c r="FO31" s="207"/>
      <c r="FP31" s="285"/>
      <c r="FQ31" s="285"/>
      <c r="FR31" s="285"/>
      <c r="FS31" s="285"/>
      <c r="FT31" s="285"/>
      <c r="FU31" s="285"/>
      <c r="FV31" s="285"/>
      <c r="FW31" s="285"/>
      <c r="FX31" s="285"/>
      <c r="FY31" s="285"/>
      <c r="FZ31" s="285"/>
      <c r="GA31" s="207"/>
      <c r="GB31" s="207"/>
      <c r="GC31" s="285"/>
      <c r="GD31" s="285"/>
      <c r="GE31" s="285"/>
      <c r="GF31" s="285"/>
      <c r="GG31" s="285"/>
      <c r="GH31" s="285"/>
      <c r="GI31" s="285"/>
      <c r="GJ31" s="285"/>
      <c r="GK31" s="285"/>
      <c r="GL31" s="285"/>
      <c r="GM31" s="285"/>
      <c r="GN31" s="207"/>
      <c r="GO31" s="207"/>
      <c r="GP31" s="285"/>
      <c r="GQ31" s="285"/>
      <c r="GR31" s="285"/>
      <c r="GS31" s="285"/>
      <c r="GT31" s="285"/>
      <c r="GU31" s="285"/>
      <c r="GV31" s="285"/>
      <c r="GW31" s="285"/>
      <c r="GX31" s="285"/>
      <c r="GY31" s="285"/>
      <c r="GZ31" s="285"/>
      <c r="HA31" s="207"/>
      <c r="HB31" s="207"/>
      <c r="HC31" s="285"/>
      <c r="HD31" s="285"/>
      <c r="HE31" s="285"/>
      <c r="HF31" s="285"/>
      <c r="HG31" s="285"/>
      <c r="HH31" s="285"/>
      <c r="HI31" s="285"/>
      <c r="HJ31" s="285"/>
      <c r="HK31" s="285"/>
      <c r="HL31" s="285"/>
      <c r="HM31" s="285"/>
      <c r="HN31" s="207"/>
      <c r="HO31" s="207"/>
      <c r="HP31" s="285"/>
      <c r="HQ31" s="285"/>
      <c r="HR31" s="285"/>
      <c r="HS31" s="285"/>
      <c r="HT31" s="285"/>
      <c r="HU31" s="285"/>
      <c r="HV31" s="285"/>
      <c r="HW31" s="285"/>
      <c r="HX31" s="285"/>
      <c r="HY31" s="285"/>
      <c r="HZ31" s="285"/>
      <c r="IA31" s="207"/>
      <c r="IB31" s="207"/>
      <c r="IC31" s="285"/>
      <c r="ID31" s="285"/>
      <c r="IE31" s="285"/>
      <c r="IF31" s="285"/>
      <c r="IG31" s="285"/>
      <c r="IH31" s="285"/>
      <c r="II31" s="285"/>
      <c r="IJ31" s="285"/>
      <c r="IK31" s="285"/>
      <c r="IL31" s="285"/>
      <c r="IM31" s="285"/>
      <c r="IN31" s="207"/>
      <c r="IO31" s="207"/>
      <c r="IP31" s="285"/>
      <c r="IQ31" s="285"/>
      <c r="IR31" s="285"/>
      <c r="IS31" s="285"/>
      <c r="IT31" s="285"/>
      <c r="IU31" s="285"/>
      <c r="IV31" s="285"/>
    </row>
    <row r="32" spans="1:256" x14ac:dyDescent="0.2">
      <c r="A32" s="218"/>
      <c r="B32" s="21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8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8"/>
      <c r="AN32" s="218"/>
      <c r="AO32" s="219"/>
      <c r="AP32" s="287"/>
      <c r="AQ32" s="287"/>
      <c r="AR32" s="287"/>
      <c r="AS32" s="287"/>
      <c r="AT32" s="287"/>
      <c r="AU32" s="287"/>
      <c r="AV32" s="287"/>
      <c r="AW32" s="287"/>
      <c r="AX32" s="287"/>
      <c r="AY32" s="287"/>
      <c r="AZ32" s="288"/>
      <c r="BA32" s="218"/>
      <c r="BB32" s="219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8"/>
      <c r="BN32" s="218"/>
      <c r="BO32" s="219"/>
      <c r="BP32" s="287"/>
      <c r="BQ32" s="287"/>
      <c r="BR32" s="287"/>
      <c r="BS32" s="287"/>
      <c r="BT32" s="287"/>
      <c r="BU32" s="287"/>
      <c r="BV32" s="287"/>
      <c r="BW32" s="287"/>
      <c r="BX32" s="287"/>
      <c r="BY32" s="287"/>
      <c r="BZ32" s="288"/>
      <c r="CA32" s="218"/>
      <c r="CB32" s="219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8"/>
      <c r="CN32" s="218"/>
      <c r="CO32" s="219"/>
      <c r="CP32" s="287"/>
      <c r="CQ32" s="287"/>
      <c r="CR32" s="287"/>
      <c r="CS32" s="287"/>
      <c r="CT32" s="287"/>
      <c r="CU32" s="287"/>
      <c r="CV32" s="287"/>
      <c r="CW32" s="287"/>
      <c r="CX32" s="287"/>
      <c r="CY32" s="287"/>
      <c r="CZ32" s="288"/>
      <c r="DA32" s="218"/>
      <c r="DB32" s="219"/>
      <c r="DC32" s="287"/>
      <c r="DD32" s="287"/>
      <c r="DE32" s="287"/>
      <c r="DF32" s="287"/>
      <c r="DG32" s="287"/>
      <c r="DH32" s="287"/>
      <c r="DI32" s="287"/>
      <c r="DJ32" s="287"/>
      <c r="DK32" s="287"/>
      <c r="DL32" s="287"/>
      <c r="DM32" s="288"/>
      <c r="DN32" s="218"/>
      <c r="DO32" s="219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8"/>
      <c r="EA32" s="218"/>
      <c r="EB32" s="219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8"/>
      <c r="EN32" s="218"/>
      <c r="EO32" s="219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8"/>
      <c r="FA32" s="218"/>
      <c r="FB32" s="219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8"/>
      <c r="FN32" s="218"/>
      <c r="FO32" s="219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8"/>
      <c r="GA32" s="218"/>
      <c r="GB32" s="219"/>
      <c r="GC32" s="287"/>
      <c r="GD32" s="287"/>
      <c r="GE32" s="287"/>
      <c r="GF32" s="287"/>
      <c r="GG32" s="287"/>
      <c r="GH32" s="287"/>
      <c r="GI32" s="287"/>
      <c r="GJ32" s="287"/>
      <c r="GK32" s="287"/>
      <c r="GL32" s="287"/>
      <c r="GM32" s="288"/>
      <c r="GN32" s="218"/>
      <c r="GO32" s="219"/>
      <c r="GP32" s="287"/>
      <c r="GQ32" s="287"/>
      <c r="GR32" s="287"/>
      <c r="GS32" s="287"/>
      <c r="GT32" s="287"/>
      <c r="GU32" s="287"/>
      <c r="GV32" s="287"/>
      <c r="GW32" s="287"/>
      <c r="GX32" s="287"/>
      <c r="GY32" s="287"/>
      <c r="GZ32" s="288"/>
      <c r="HA32" s="218"/>
      <c r="HB32" s="219"/>
      <c r="HC32" s="287"/>
      <c r="HD32" s="287"/>
      <c r="HE32" s="287"/>
      <c r="HF32" s="287"/>
      <c r="HG32" s="287"/>
      <c r="HH32" s="287"/>
      <c r="HI32" s="287"/>
      <c r="HJ32" s="287"/>
      <c r="HK32" s="287"/>
      <c r="HL32" s="287"/>
      <c r="HM32" s="288"/>
      <c r="HN32" s="218"/>
      <c r="HO32" s="219"/>
      <c r="HP32" s="287"/>
      <c r="HQ32" s="287"/>
      <c r="HR32" s="287"/>
      <c r="HS32" s="287"/>
      <c r="HT32" s="287"/>
      <c r="HU32" s="287"/>
      <c r="HV32" s="287"/>
      <c r="HW32" s="287"/>
      <c r="HX32" s="287"/>
      <c r="HY32" s="287"/>
      <c r="HZ32" s="288"/>
      <c r="IA32" s="218"/>
      <c r="IB32" s="219"/>
      <c r="IC32" s="287"/>
      <c r="ID32" s="287"/>
      <c r="IE32" s="287"/>
      <c r="IF32" s="287"/>
      <c r="IG32" s="287"/>
      <c r="IH32" s="287"/>
      <c r="II32" s="287"/>
      <c r="IJ32" s="287"/>
      <c r="IK32" s="287"/>
      <c r="IL32" s="287"/>
      <c r="IM32" s="288"/>
      <c r="IN32" s="218"/>
      <c r="IO32" s="219"/>
      <c r="IP32" s="287"/>
      <c r="IQ32" s="287"/>
      <c r="IR32" s="287"/>
      <c r="IS32" s="287"/>
      <c r="IT32" s="287"/>
      <c r="IU32" s="287"/>
      <c r="IV32" s="287"/>
    </row>
    <row r="33" spans="1:256" x14ac:dyDescent="0.2">
      <c r="A33" s="218"/>
      <c r="B33" s="219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8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8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8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8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8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8"/>
      <c r="N38" s="211"/>
      <c r="O38" s="211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07"/>
      <c r="AB38" s="207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07"/>
      <c r="AO38" s="207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07"/>
      <c r="BB38" s="207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07"/>
      <c r="BO38" s="207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07"/>
      <c r="CB38" s="207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07"/>
      <c r="CO38" s="207"/>
      <c r="CP38" s="285"/>
      <c r="CQ38" s="285"/>
      <c r="CR38" s="285"/>
      <c r="CS38" s="285"/>
      <c r="CT38" s="285"/>
      <c r="CU38" s="285"/>
      <c r="CV38" s="285"/>
      <c r="CW38" s="285"/>
      <c r="CX38" s="285"/>
      <c r="CY38" s="285"/>
      <c r="CZ38" s="285"/>
      <c r="DA38" s="207"/>
      <c r="DB38" s="207"/>
      <c r="DC38" s="285"/>
      <c r="DD38" s="285"/>
      <c r="DE38" s="285"/>
      <c r="DF38" s="285"/>
      <c r="DG38" s="285"/>
      <c r="DH38" s="285"/>
      <c r="DI38" s="285"/>
      <c r="DJ38" s="285"/>
      <c r="DK38" s="285"/>
      <c r="DL38" s="285"/>
      <c r="DM38" s="285"/>
      <c r="DN38" s="207"/>
      <c r="DO38" s="207"/>
      <c r="DP38" s="285"/>
      <c r="DQ38" s="285"/>
      <c r="DR38" s="285"/>
      <c r="DS38" s="285"/>
      <c r="DT38" s="285"/>
      <c r="DU38" s="285"/>
      <c r="DV38" s="285"/>
      <c r="DW38" s="285"/>
      <c r="DX38" s="285"/>
      <c r="DY38" s="285"/>
      <c r="DZ38" s="285"/>
      <c r="EA38" s="207"/>
      <c r="EB38" s="207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07"/>
      <c r="EO38" s="207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07"/>
      <c r="FB38" s="207"/>
      <c r="FC38" s="285"/>
      <c r="FD38" s="285"/>
      <c r="FE38" s="285"/>
      <c r="FF38" s="285"/>
      <c r="FG38" s="285"/>
      <c r="FH38" s="285"/>
      <c r="FI38" s="285"/>
      <c r="FJ38" s="285"/>
      <c r="FK38" s="285"/>
      <c r="FL38" s="285"/>
      <c r="FM38" s="285"/>
      <c r="FN38" s="207"/>
      <c r="FO38" s="207"/>
      <c r="FP38" s="285"/>
      <c r="FQ38" s="285"/>
      <c r="FR38" s="285"/>
      <c r="FS38" s="285"/>
      <c r="FT38" s="285"/>
      <c r="FU38" s="285"/>
      <c r="FV38" s="285"/>
      <c r="FW38" s="285"/>
      <c r="FX38" s="285"/>
      <c r="FY38" s="285"/>
      <c r="FZ38" s="285"/>
      <c r="GA38" s="207"/>
      <c r="GB38" s="207"/>
      <c r="GC38" s="285"/>
      <c r="GD38" s="285"/>
      <c r="GE38" s="285"/>
      <c r="GF38" s="285"/>
      <c r="GG38" s="285"/>
      <c r="GH38" s="285"/>
      <c r="GI38" s="285"/>
      <c r="GJ38" s="285"/>
      <c r="GK38" s="285"/>
      <c r="GL38" s="285"/>
      <c r="GM38" s="285"/>
      <c r="GN38" s="207"/>
      <c r="GO38" s="207"/>
      <c r="GP38" s="285"/>
      <c r="GQ38" s="285"/>
      <c r="GR38" s="285"/>
      <c r="GS38" s="285"/>
      <c r="GT38" s="285"/>
      <c r="GU38" s="285"/>
      <c r="GV38" s="285"/>
      <c r="GW38" s="285"/>
      <c r="GX38" s="285"/>
      <c r="GY38" s="285"/>
      <c r="GZ38" s="285"/>
      <c r="HA38" s="207"/>
      <c r="HB38" s="207"/>
      <c r="HC38" s="285"/>
      <c r="HD38" s="285"/>
      <c r="HE38" s="285"/>
      <c r="HF38" s="285"/>
      <c r="HG38" s="285"/>
      <c r="HH38" s="285"/>
      <c r="HI38" s="285"/>
      <c r="HJ38" s="285"/>
      <c r="HK38" s="285"/>
      <c r="HL38" s="285"/>
      <c r="HM38" s="285"/>
      <c r="HN38" s="207"/>
      <c r="HO38" s="207"/>
      <c r="HP38" s="285"/>
      <c r="HQ38" s="285"/>
      <c r="HR38" s="285"/>
      <c r="HS38" s="285"/>
      <c r="HT38" s="285"/>
      <c r="HU38" s="285"/>
      <c r="HV38" s="285"/>
      <c r="HW38" s="285"/>
      <c r="HX38" s="285"/>
      <c r="HY38" s="285"/>
      <c r="HZ38" s="285"/>
      <c r="IA38" s="207"/>
      <c r="IB38" s="207"/>
      <c r="IC38" s="285"/>
      <c r="ID38" s="285"/>
      <c r="IE38" s="285"/>
      <c r="IF38" s="285"/>
      <c r="IG38" s="285"/>
      <c r="IH38" s="285"/>
      <c r="II38" s="285"/>
      <c r="IJ38" s="285"/>
      <c r="IK38" s="285"/>
      <c r="IL38" s="285"/>
      <c r="IM38" s="285"/>
      <c r="IN38" s="207"/>
      <c r="IO38" s="207"/>
      <c r="IP38" s="285"/>
      <c r="IQ38" s="285"/>
      <c r="IR38" s="285"/>
      <c r="IS38" s="285"/>
      <c r="IT38" s="285"/>
      <c r="IU38" s="285"/>
      <c r="IV38" s="285"/>
    </row>
    <row r="39" spans="1:256" x14ac:dyDescent="0.2">
      <c r="A39" s="218"/>
      <c r="B39" s="219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8"/>
      <c r="N39" s="211"/>
      <c r="O39" s="211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07"/>
      <c r="AB39" s="207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07"/>
      <c r="AO39" s="207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07"/>
      <c r="BB39" s="207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07"/>
      <c r="BO39" s="207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07"/>
      <c r="CB39" s="207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07"/>
      <c r="CO39" s="207"/>
      <c r="CP39" s="285"/>
      <c r="CQ39" s="285"/>
      <c r="CR39" s="285"/>
      <c r="CS39" s="285"/>
      <c r="CT39" s="285"/>
      <c r="CU39" s="285"/>
      <c r="CV39" s="285"/>
      <c r="CW39" s="285"/>
      <c r="CX39" s="285"/>
      <c r="CY39" s="285"/>
      <c r="CZ39" s="285"/>
      <c r="DA39" s="207"/>
      <c r="DB39" s="207"/>
      <c r="DC39" s="285"/>
      <c r="DD39" s="285"/>
      <c r="DE39" s="285"/>
      <c r="DF39" s="285"/>
      <c r="DG39" s="285"/>
      <c r="DH39" s="285"/>
      <c r="DI39" s="285"/>
      <c r="DJ39" s="285"/>
      <c r="DK39" s="285"/>
      <c r="DL39" s="285"/>
      <c r="DM39" s="285"/>
      <c r="DN39" s="207"/>
      <c r="DO39" s="207"/>
      <c r="DP39" s="285"/>
      <c r="DQ39" s="285"/>
      <c r="DR39" s="285"/>
      <c r="DS39" s="285"/>
      <c r="DT39" s="285"/>
      <c r="DU39" s="285"/>
      <c r="DV39" s="285"/>
      <c r="DW39" s="285"/>
      <c r="DX39" s="285"/>
      <c r="DY39" s="285"/>
      <c r="DZ39" s="285"/>
      <c r="EA39" s="207"/>
      <c r="EB39" s="207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07"/>
      <c r="EO39" s="207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07"/>
      <c r="FB39" s="207"/>
      <c r="FC39" s="285"/>
      <c r="FD39" s="285"/>
      <c r="FE39" s="285"/>
      <c r="FF39" s="285"/>
      <c r="FG39" s="285"/>
      <c r="FH39" s="285"/>
      <c r="FI39" s="285"/>
      <c r="FJ39" s="285"/>
      <c r="FK39" s="285"/>
      <c r="FL39" s="285"/>
      <c r="FM39" s="285"/>
      <c r="FN39" s="207"/>
      <c r="FO39" s="207"/>
      <c r="FP39" s="285"/>
      <c r="FQ39" s="285"/>
      <c r="FR39" s="285"/>
      <c r="FS39" s="285"/>
      <c r="FT39" s="285"/>
      <c r="FU39" s="285"/>
      <c r="FV39" s="285"/>
      <c r="FW39" s="285"/>
      <c r="FX39" s="285"/>
      <c r="FY39" s="285"/>
      <c r="FZ39" s="285"/>
      <c r="GA39" s="207"/>
      <c r="GB39" s="207"/>
      <c r="GC39" s="285"/>
      <c r="GD39" s="285"/>
      <c r="GE39" s="285"/>
      <c r="GF39" s="285"/>
      <c r="GG39" s="285"/>
      <c r="GH39" s="285"/>
      <c r="GI39" s="285"/>
      <c r="GJ39" s="285"/>
      <c r="GK39" s="285"/>
      <c r="GL39" s="285"/>
      <c r="GM39" s="285"/>
      <c r="GN39" s="207"/>
      <c r="GO39" s="207"/>
      <c r="GP39" s="285"/>
      <c r="GQ39" s="285"/>
      <c r="GR39" s="285"/>
      <c r="GS39" s="285"/>
      <c r="GT39" s="285"/>
      <c r="GU39" s="285"/>
      <c r="GV39" s="285"/>
      <c r="GW39" s="285"/>
      <c r="GX39" s="285"/>
      <c r="GY39" s="285"/>
      <c r="GZ39" s="285"/>
      <c r="HA39" s="207"/>
      <c r="HB39" s="207"/>
      <c r="HC39" s="285"/>
      <c r="HD39" s="285"/>
      <c r="HE39" s="285"/>
      <c r="HF39" s="285"/>
      <c r="HG39" s="285"/>
      <c r="HH39" s="285"/>
      <c r="HI39" s="285"/>
      <c r="HJ39" s="285"/>
      <c r="HK39" s="285"/>
      <c r="HL39" s="285"/>
      <c r="HM39" s="285"/>
      <c r="HN39" s="207"/>
      <c r="HO39" s="207"/>
      <c r="HP39" s="285"/>
      <c r="HQ39" s="285"/>
      <c r="HR39" s="285"/>
      <c r="HS39" s="285"/>
      <c r="HT39" s="285"/>
      <c r="HU39" s="285"/>
      <c r="HV39" s="285"/>
      <c r="HW39" s="285"/>
      <c r="HX39" s="285"/>
      <c r="HY39" s="285"/>
      <c r="HZ39" s="285"/>
      <c r="IA39" s="207"/>
      <c r="IB39" s="207"/>
      <c r="IC39" s="285"/>
      <c r="ID39" s="285"/>
      <c r="IE39" s="285"/>
      <c r="IF39" s="285"/>
      <c r="IG39" s="285"/>
      <c r="IH39" s="285"/>
      <c r="II39" s="285"/>
      <c r="IJ39" s="285"/>
      <c r="IK39" s="285"/>
      <c r="IL39" s="285"/>
      <c r="IM39" s="285"/>
      <c r="IN39" s="207"/>
      <c r="IO39" s="207"/>
      <c r="IP39" s="285"/>
      <c r="IQ39" s="285"/>
      <c r="IR39" s="285"/>
      <c r="IS39" s="285"/>
      <c r="IT39" s="285"/>
      <c r="IU39" s="285"/>
      <c r="IV39" s="285"/>
    </row>
    <row r="40" spans="1:256" x14ac:dyDescent="0.2">
      <c r="A40" s="218"/>
      <c r="B40" s="219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8"/>
      <c r="N40" s="211"/>
      <c r="O40" s="211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07"/>
      <c r="AB40" s="207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07"/>
      <c r="AO40" s="207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07"/>
      <c r="BB40" s="207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07"/>
      <c r="BO40" s="207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07"/>
      <c r="CB40" s="207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07"/>
      <c r="CO40" s="207"/>
      <c r="CP40" s="285"/>
      <c r="CQ40" s="285"/>
      <c r="CR40" s="285"/>
      <c r="CS40" s="285"/>
      <c r="CT40" s="285"/>
      <c r="CU40" s="285"/>
      <c r="CV40" s="285"/>
      <c r="CW40" s="285"/>
      <c r="CX40" s="285"/>
      <c r="CY40" s="285"/>
      <c r="CZ40" s="285"/>
      <c r="DA40" s="207"/>
      <c r="DB40" s="207"/>
      <c r="DC40" s="285"/>
      <c r="DD40" s="285"/>
      <c r="DE40" s="285"/>
      <c r="DF40" s="285"/>
      <c r="DG40" s="285"/>
      <c r="DH40" s="285"/>
      <c r="DI40" s="285"/>
      <c r="DJ40" s="285"/>
      <c r="DK40" s="285"/>
      <c r="DL40" s="285"/>
      <c r="DM40" s="285"/>
      <c r="DN40" s="207"/>
      <c r="DO40" s="207"/>
      <c r="DP40" s="285"/>
      <c r="DQ40" s="285"/>
      <c r="DR40" s="285"/>
      <c r="DS40" s="285"/>
      <c r="DT40" s="285"/>
      <c r="DU40" s="285"/>
      <c r="DV40" s="285"/>
      <c r="DW40" s="285"/>
      <c r="DX40" s="285"/>
      <c r="DY40" s="285"/>
      <c r="DZ40" s="285"/>
      <c r="EA40" s="207"/>
      <c r="EB40" s="207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07"/>
      <c r="EO40" s="207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07"/>
      <c r="FB40" s="207"/>
      <c r="FC40" s="285"/>
      <c r="FD40" s="285"/>
      <c r="FE40" s="285"/>
      <c r="FF40" s="285"/>
      <c r="FG40" s="285"/>
      <c r="FH40" s="285"/>
      <c r="FI40" s="285"/>
      <c r="FJ40" s="285"/>
      <c r="FK40" s="285"/>
      <c r="FL40" s="285"/>
      <c r="FM40" s="285"/>
      <c r="FN40" s="207"/>
      <c r="FO40" s="207"/>
      <c r="FP40" s="285"/>
      <c r="FQ40" s="285"/>
      <c r="FR40" s="285"/>
      <c r="FS40" s="285"/>
      <c r="FT40" s="285"/>
      <c r="FU40" s="285"/>
      <c r="FV40" s="285"/>
      <c r="FW40" s="285"/>
      <c r="FX40" s="285"/>
      <c r="FY40" s="285"/>
      <c r="FZ40" s="285"/>
      <c r="GA40" s="207"/>
      <c r="GB40" s="207"/>
      <c r="GC40" s="285"/>
      <c r="GD40" s="285"/>
      <c r="GE40" s="285"/>
      <c r="GF40" s="285"/>
      <c r="GG40" s="285"/>
      <c r="GH40" s="285"/>
      <c r="GI40" s="285"/>
      <c r="GJ40" s="285"/>
      <c r="GK40" s="285"/>
      <c r="GL40" s="285"/>
      <c r="GM40" s="285"/>
      <c r="GN40" s="207"/>
      <c r="GO40" s="207"/>
      <c r="GP40" s="285"/>
      <c r="GQ40" s="285"/>
      <c r="GR40" s="285"/>
      <c r="GS40" s="285"/>
      <c r="GT40" s="285"/>
      <c r="GU40" s="285"/>
      <c r="GV40" s="285"/>
      <c r="GW40" s="285"/>
      <c r="GX40" s="285"/>
      <c r="GY40" s="285"/>
      <c r="GZ40" s="285"/>
      <c r="HA40" s="207"/>
      <c r="HB40" s="207"/>
      <c r="HC40" s="285"/>
      <c r="HD40" s="285"/>
      <c r="HE40" s="285"/>
      <c r="HF40" s="285"/>
      <c r="HG40" s="285"/>
      <c r="HH40" s="285"/>
      <c r="HI40" s="285"/>
      <c r="HJ40" s="285"/>
      <c r="HK40" s="285"/>
      <c r="HL40" s="285"/>
      <c r="HM40" s="285"/>
      <c r="HN40" s="207"/>
      <c r="HO40" s="207"/>
      <c r="HP40" s="285"/>
      <c r="HQ40" s="285"/>
      <c r="HR40" s="285"/>
      <c r="HS40" s="285"/>
      <c r="HT40" s="285"/>
      <c r="HU40" s="285"/>
      <c r="HV40" s="285"/>
      <c r="HW40" s="285"/>
      <c r="HX40" s="285"/>
      <c r="HY40" s="285"/>
      <c r="HZ40" s="285"/>
      <c r="IA40" s="207"/>
      <c r="IB40" s="207"/>
      <c r="IC40" s="285"/>
      <c r="ID40" s="285"/>
      <c r="IE40" s="285"/>
      <c r="IF40" s="285"/>
      <c r="IG40" s="285"/>
      <c r="IH40" s="285"/>
      <c r="II40" s="285"/>
      <c r="IJ40" s="285"/>
      <c r="IK40" s="285"/>
      <c r="IL40" s="285"/>
      <c r="IM40" s="285"/>
      <c r="IN40" s="207"/>
      <c r="IO40" s="207"/>
      <c r="IP40" s="285"/>
      <c r="IQ40" s="285"/>
      <c r="IR40" s="285"/>
      <c r="IS40" s="285"/>
      <c r="IT40" s="285"/>
      <c r="IU40" s="285"/>
      <c r="IV40" s="285"/>
    </row>
    <row r="41" spans="1:256" x14ac:dyDescent="0.2">
      <c r="A41" s="218"/>
      <c r="B41" s="219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8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8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8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8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8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8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8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8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8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8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8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8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8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8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8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8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8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8"/>
    </row>
    <row r="60" spans="1:256" x14ac:dyDescent="0.2">
      <c r="A60" s="218"/>
      <c r="B60" s="219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256" x14ac:dyDescent="0.2">
      <c r="A61" s="218"/>
      <c r="B61" s="219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8"/>
    </row>
    <row r="62" spans="1:256" x14ac:dyDescent="0.2">
      <c r="A62" s="218"/>
      <c r="B62" s="219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8"/>
    </row>
    <row r="63" spans="1:256" x14ac:dyDescent="0.2">
      <c r="A63" s="218"/>
      <c r="B63" s="219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8"/>
    </row>
    <row r="64" spans="1:256" x14ac:dyDescent="0.2">
      <c r="A64" s="218"/>
      <c r="B64" s="219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8"/>
    </row>
    <row r="65" spans="1:13" x14ac:dyDescent="0.2">
      <c r="A65" s="218"/>
      <c r="B65" s="219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8"/>
    </row>
    <row r="66" spans="1:13" x14ac:dyDescent="0.2">
      <c r="A66" s="218"/>
      <c r="B66" s="219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x14ac:dyDescent="0.2">
      <c r="A67" s="218"/>
      <c r="B67" s="219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8"/>
    </row>
    <row r="68" spans="1:13" x14ac:dyDescent="0.2">
      <c r="A68" s="218"/>
      <c r="B68" s="219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8"/>
    </row>
    <row r="69" spans="1:13" x14ac:dyDescent="0.2">
      <c r="A69" s="218"/>
      <c r="B69" s="219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8"/>
    </row>
    <row r="70" spans="1:13" ht="12" thickBot="1" x14ac:dyDescent="0.25">
      <c r="A70" s="220"/>
      <c r="B70" s="221"/>
      <c r="C70" s="300"/>
      <c r="D70" s="300"/>
      <c r="E70" s="300"/>
      <c r="F70" s="300"/>
      <c r="G70" s="300"/>
      <c r="H70" s="300"/>
      <c r="I70" s="300"/>
      <c r="J70" s="300"/>
      <c r="K70" s="300"/>
      <c r="L70" s="300"/>
      <c r="M70" s="301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2" t="s">
        <v>848</v>
      </c>
      <c r="B72" s="302"/>
      <c r="C72" s="302"/>
      <c r="D72" s="302"/>
      <c r="E72" s="30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</row>
    <row r="74" spans="1:13" x14ac:dyDescent="0.2">
      <c r="A74" s="211"/>
      <c r="B74" s="211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</row>
    <row r="75" spans="1:13" x14ac:dyDescent="0.2">
      <c r="A75" s="211"/>
      <c r="B75" s="211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</row>
    <row r="76" spans="1:13" x14ac:dyDescent="0.2">
      <c r="A76" s="211"/>
      <c r="B76" s="211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</row>
    <row r="77" spans="1:13" x14ac:dyDescent="0.2">
      <c r="A77" s="211"/>
      <c r="B77" s="211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</row>
    <row r="78" spans="1:13" x14ac:dyDescent="0.2">
      <c r="A78" s="211"/>
      <c r="B78" s="211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</row>
    <row r="79" spans="1:13" x14ac:dyDescent="0.2">
      <c r="A79" s="211"/>
      <c r="B79" s="211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</row>
    <row r="80" spans="1:13" x14ac:dyDescent="0.2">
      <c r="A80" s="211"/>
      <c r="B80" s="211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</row>
    <row r="81" spans="1:13" x14ac:dyDescent="0.2">
      <c r="A81" s="211"/>
      <c r="B81" s="211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</row>
    <row r="82" spans="1:13" x14ac:dyDescent="0.2">
      <c r="A82" s="211"/>
      <c r="B82" s="211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</row>
    <row r="83" spans="1:13" x14ac:dyDescent="0.2">
      <c r="A83" s="211"/>
      <c r="B83" s="211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</row>
    <row r="84" spans="1:13" x14ac:dyDescent="0.2">
      <c r="A84" s="211"/>
      <c r="B84" s="211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</row>
    <row r="85" spans="1:13" x14ac:dyDescent="0.2">
      <c r="A85" s="211"/>
      <c r="B85" s="211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</row>
    <row r="86" spans="1:13" x14ac:dyDescent="0.2">
      <c r="A86" s="211"/>
      <c r="B86" s="211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</row>
    <row r="87" spans="1:13" x14ac:dyDescent="0.2">
      <c r="A87" s="211"/>
      <c r="B87" s="211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</row>
    <row r="88" spans="1:13" x14ac:dyDescent="0.2">
      <c r="A88" s="211"/>
      <c r="B88" s="211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</row>
    <row r="89" spans="1:13" x14ac:dyDescent="0.2">
      <c r="A89" s="211"/>
      <c r="B89" s="211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</row>
    <row r="90" spans="1:13" x14ac:dyDescent="0.2">
      <c r="A90" s="211"/>
      <c r="B90" s="211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2013-09-16T12:21:05Z</cp:lastPrinted>
  <dcterms:created xsi:type="dcterms:W3CDTF">1997-12-04T19:04:30Z</dcterms:created>
  <dcterms:modified xsi:type="dcterms:W3CDTF">2013-10-28T15:27:50Z</dcterms:modified>
</cp:coreProperties>
</file>