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C13" i="10" s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5" i="10"/>
  <c r="C16" i="10"/>
  <c r="C17" i="10"/>
  <c r="C18" i="10"/>
  <c r="C19" i="10"/>
  <c r="C20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C114" i="2" s="1"/>
  <c r="E108" i="2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F32" i="1"/>
  <c r="G32" i="1"/>
  <c r="H32" i="1"/>
  <c r="I32" i="1"/>
  <c r="F50" i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I256" i="1" s="1"/>
  <c r="I270" i="1" s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6" i="1" s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F475" i="1" s="1"/>
  <c r="H621" i="1" s="1"/>
  <c r="G469" i="1"/>
  <c r="H469" i="1"/>
  <c r="I469" i="1"/>
  <c r="J469" i="1"/>
  <c r="J475" i="1" s="1"/>
  <c r="H625" i="1" s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I544" i="1" s="1"/>
  <c r="J523" i="1"/>
  <c r="K523" i="1"/>
  <c r="L523" i="1"/>
  <c r="F528" i="1"/>
  <c r="G528" i="1"/>
  <c r="H528" i="1"/>
  <c r="H544" i="1" s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L613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K256" i="1"/>
  <c r="K270" i="1" s="1"/>
  <c r="G256" i="1"/>
  <c r="G270" i="1" s="1"/>
  <c r="G159" i="2"/>
  <c r="C18" i="2"/>
  <c r="F31" i="2"/>
  <c r="C26" i="10"/>
  <c r="L327" i="1"/>
  <c r="H659" i="1" s="1"/>
  <c r="H663" i="1" s="1"/>
  <c r="L350" i="1"/>
  <c r="I661" i="1"/>
  <c r="L289" i="1"/>
  <c r="A31" i="12"/>
  <c r="C69" i="2"/>
  <c r="A40" i="12"/>
  <c r="D12" i="13"/>
  <c r="C12" i="13" s="1"/>
  <c r="G161" i="2"/>
  <c r="D61" i="2"/>
  <c r="D62" i="2" s="1"/>
  <c r="E49" i="2"/>
  <c r="E50" i="2" s="1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J256" i="1"/>
  <c r="J270" i="1" s="1"/>
  <c r="H111" i="1"/>
  <c r="F111" i="1"/>
  <c r="J640" i="1"/>
  <c r="J638" i="1"/>
  <c r="J570" i="1"/>
  <c r="K570" i="1"/>
  <c r="L432" i="1"/>
  <c r="L418" i="1"/>
  <c r="D80" i="2"/>
  <c r="I168" i="1"/>
  <c r="H168" i="1"/>
  <c r="G551" i="1"/>
  <c r="J643" i="1"/>
  <c r="J642" i="1"/>
  <c r="H475" i="1"/>
  <c r="H623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I551" i="1"/>
  <c r="K548" i="1"/>
  <c r="K549" i="1"/>
  <c r="G22" i="2"/>
  <c r="K544" i="1"/>
  <c r="J551" i="1"/>
  <c r="H551" i="1"/>
  <c r="C29" i="10"/>
  <c r="I660" i="1"/>
  <c r="H139" i="1"/>
  <c r="L400" i="1"/>
  <c r="C138" i="2" s="1"/>
  <c r="L392" i="1"/>
  <c r="A13" i="12"/>
  <c r="F22" i="13"/>
  <c r="C22" i="13" s="1"/>
  <c r="H25" i="13"/>
  <c r="C25" i="13" s="1"/>
  <c r="J650" i="1"/>
  <c r="J633" i="1"/>
  <c r="H570" i="1"/>
  <c r="L559" i="1"/>
  <c r="J544" i="1"/>
  <c r="H337" i="1"/>
  <c r="H351" i="1" s="1"/>
  <c r="F337" i="1"/>
  <c r="F351" i="1" s="1"/>
  <c r="G191" i="1"/>
  <c r="H191" i="1"/>
  <c r="E127" i="2"/>
  <c r="F551" i="1"/>
  <c r="C35" i="10"/>
  <c r="L308" i="1"/>
  <c r="D5" i="13"/>
  <c r="C5" i="13" s="1"/>
  <c r="E16" i="13"/>
  <c r="C49" i="2"/>
  <c r="C50" i="2" s="1"/>
  <c r="J654" i="1"/>
  <c r="J644" i="1"/>
  <c r="L569" i="1"/>
  <c r="I570" i="1"/>
  <c r="J635" i="1"/>
  <c r="G36" i="2"/>
  <c r="L564" i="1"/>
  <c r="L544" i="1"/>
  <c r="K550" i="1"/>
  <c r="C137" i="2"/>
  <c r="C16" i="13"/>
  <c r="K597" i="1" l="1"/>
  <c r="G646" i="1" s="1"/>
  <c r="J646" i="1" s="1"/>
  <c r="G544" i="1"/>
  <c r="K551" i="1"/>
  <c r="J639" i="1"/>
  <c r="E144" i="2"/>
  <c r="H33" i="13"/>
  <c r="L255" i="1"/>
  <c r="H256" i="1"/>
  <c r="H270" i="1" s="1"/>
  <c r="F256" i="1"/>
  <c r="F270" i="1" s="1"/>
  <c r="F659" i="1"/>
  <c r="F663" i="1" s="1"/>
  <c r="F666" i="1" s="1"/>
  <c r="L256" i="1"/>
  <c r="L270" i="1" s="1"/>
  <c r="G631" i="1" s="1"/>
  <c r="J631" i="1" s="1"/>
  <c r="E33" i="13"/>
  <c r="D35" i="13" s="1"/>
  <c r="C127" i="2"/>
  <c r="J623" i="1"/>
  <c r="J621" i="1"/>
  <c r="F51" i="1"/>
  <c r="H616" i="1" s="1"/>
  <c r="J616" i="1" s="1"/>
  <c r="L337" i="1"/>
  <c r="L351" i="1" s="1"/>
  <c r="G632" i="1" s="1"/>
  <c r="J632" i="1" s="1"/>
  <c r="C24" i="10"/>
  <c r="G659" i="1"/>
  <c r="G663" i="1" s="1"/>
  <c r="G671" i="1" s="1"/>
  <c r="C5" i="10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I659" i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666" i="1"/>
  <c r="G42" i="2"/>
  <c r="J50" i="1"/>
  <c r="G16" i="2"/>
  <c r="J19" i="1"/>
  <c r="G620" i="1" s="1"/>
  <c r="F33" i="13"/>
  <c r="D31" i="13"/>
  <c r="C31" i="13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G634" i="1"/>
  <c r="J634" i="1" s="1"/>
  <c r="F671" i="1" l="1"/>
  <c r="C4" i="10" s="1"/>
  <c r="H645" i="1"/>
  <c r="C28" i="10"/>
  <c r="D24" i="10" s="1"/>
  <c r="C144" i="2"/>
  <c r="G630" i="1"/>
  <c r="J630" i="1" s="1"/>
  <c r="I663" i="1"/>
  <c r="I671" i="1" s="1"/>
  <c r="C7" i="10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D23" i="10"/>
  <c r="D12" i="10"/>
  <c r="D17" i="10"/>
  <c r="D18" i="10"/>
  <c r="D27" i="10"/>
  <c r="D20" i="10" l="1"/>
  <c r="D15" i="10"/>
  <c r="D25" i="10"/>
  <c r="D19" i="10"/>
  <c r="D10" i="10"/>
  <c r="D13" i="10"/>
  <c r="D26" i="10"/>
  <c r="D11" i="10"/>
  <c r="C30" i="10"/>
  <c r="D21" i="10"/>
  <c r="D16" i="10"/>
  <c r="D22" i="10"/>
  <c r="I666" i="1"/>
  <c r="H655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<sst xmlns="http://schemas.openxmlformats.org/spreadsheetml/2006/main" count="3946" uniqueCount="912">
  <si>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</si>
  <si>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</si>
  <si>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</si>
  <si>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</si>
  <si>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</si>
  <si>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</si>
  <si>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</si>
  <si>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</si>
  <si>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</si>
  <si>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</si>
  <si>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</si>
  <si>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</si>
  <si>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</si>
  <si>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</si>
  <si>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</si>
  <si>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</si>
  <si>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</si>
  <si>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</si>
  <si>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</si>
  <si>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</si>
  <si>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</si>
  <si>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</si>
  <si>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</si>
  <si>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</si>
  <si>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</si>
  <si>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</si>
  <si>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</si>
  <si>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</si>
  <si>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</si>
  <si>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</si>
  <si>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</si>
  <si>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</si>
  <si>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</si>
  <si>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</si>
  <si>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</si>
  <si>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</si>
  <si>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</si>
  <si>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</si>
  <si>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</si>
  <si>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</si>
  <si>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</si>
  <si>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</si>
  <si>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</si>
  <si>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</si>
  <si>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</si>
  <si>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</si>
  <si>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</si>
  <si>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</si>
  <si>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</si>
  <si>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</si>
  <si>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</si>
  <si>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</si>
  <si>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</si>
  <si>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</si>
  <si>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</si>
  <si>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</si>
  <si>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</si>
  <si>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</si>
  <si>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</si>
  <si>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</si>
  <si>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</si>
  <si>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</si>
  <si>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</si>
  <si>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</si>
  <si>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</si>
  <si>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</si>
  <si>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</si>
  <si>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</si>
  <si>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</si>
  <si>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</si>
  <si>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</si>
  <si>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</si>
  <si>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</si>
  <si>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</si>
  <si>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</si>
  <si>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</si>
  <si>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</si>
  <si>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</si>
  <si>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</si>
  <si>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</si>
  <si>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</si>
  <si>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</si>
  <si>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</si>
  <si>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</si>
  <si>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</si>
  <si>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</si>
  <si>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</si>
  <si>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</si>
  <si>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</si>
  <si>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</si>
  <si>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</si>
  <si>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</si>
  <si>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</si>
  <si>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</si>
  <si>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</si>
  <si>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</si>
  <si>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</si>
  <si>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</si>
  <si>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</si>
  <si>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</si>
  <si>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</si>
  <si>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</si>
  <si>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</si>
  <si>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</si>
  <si>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</si>
  <si>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</si>
  <si>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</si>
  <si>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</si>
  <si>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</si>
  <si>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</si>
  <si>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</si>
  <si>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</si>
  <si>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</si>
  <si>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</si>
  <si>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</si>
  <si>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</si>
  <si>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</si>
  <si>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</si>
  <si>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</si>
  <si>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</si>
  <si>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</si>
  <si>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</si>
  <si>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</si>
  <si>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</si>
  <si>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</si>
  <si>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</si>
  <si>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</si>
  <si>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</si>
  <si>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</si>
  <si>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</si>
  <si>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</si>
  <si>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</si>
  <si>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</si>
  <si>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</si>
  <si>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</si>
  <si>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</si>
  <si>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</si>
  <si>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</si>
  <si>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</si>
  <si>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</si>
  <si>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</si>
  <si>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</si>
  <si>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</si>
  <si>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</si>
  <si>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</si>
  <si>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</si>
  <si>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</si>
  <si>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</si>
  <si>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</si>
  <si>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</si>
  <si>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</si>
  <si>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</si>
  <si>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</si>
  <si>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</si>
  <si>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</si>
  <si>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</si>
  <si>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</si>
  <si>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</si>
  <si>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</si>
  <si>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</si>
  <si>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</si>
  <si>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</si>
  <si>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</si>
  <si>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</si>
  <si>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</si>
  <si>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</si>
  <si>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</si>
  <si>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</si>
  <si>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</si>
  <si>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</si>
  <si>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</si>
  <si>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</si>
  <si>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</si>
  <si>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</si>
  <si>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</si>
  <si>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</si>
  <si>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</si>
  <si>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</si>
  <si>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</si>
  <si>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</si>
  <si>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</si>
  <si>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</si>
  <si>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</si>
  <si>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</si>
  <si>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</si>
  <si>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</si>
  <si>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</si>
  <si>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</si>
  <si>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</si>
  <si>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</si>
  <si>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</si>
  <si>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</si>
  <si>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</si>
  <si>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</si>
  <si>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</si>
  <si>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</si>
  <si>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</si>
  <si>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</si>
  <si>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</si>
  <si>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</si>
  <si>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</si>
  <si>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</si>
  <si>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</si>
  <si>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</si>
  <si>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</si>
  <si>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</si>
  <si>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</si>
  <si>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</si>
  <si>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</si>
  <si>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</si>
  <si>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</si>
  <si>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</si>
  <si>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</si>
  <si>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</si>
  <si>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</si>
  <si>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</si>
  <si>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</si>
  <si>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</si>
  <si>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</si>
  <si>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</si>
  <si>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</si>
  <si>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</si>
  <si>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</si>
  <si>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</si>
  <si>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</si>
  <si>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</si>
  <si>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</si>
  <si>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</si>
  <si>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</si>
  <si>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</si>
  <si>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</si>
  <si>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</si>
  <si>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</si>
  <si>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</si>
  <si>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</si>
  <si>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</si>
  <si>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</si>
  <si>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</si>
  <si>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</si>
  <si>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</si>
  <si>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</si>
  <si>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</si>
  <si>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</si>
  <si>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</si>
  <si>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</si>
  <si>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</si>
  <si>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</si>
  <si>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</si>
  <si>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</si>
  <si>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</si>
  <si>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</si>
  <si>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</si>
  <si>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</si>
  <si>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</si>
  <si>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</si>
  <si>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</si>
  <si>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</si>
  <si>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</si>
  <si>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</si>
  <si>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</si>
  <si>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</si>
  <si>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</si>
  <si>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</si>
  <si>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</si>
  <si>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</si>
  <si>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</si>
  <si>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</si>
  <si>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</si>
  <si>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</si>
  <si>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</si>
  <si>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</si>
  <si>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</si>
  <si>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</si>
  <si>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</si>
  <si>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</si>
  <si>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</si>
  <si>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</si>
  <si>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</si>
  <si>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</si>
  <si>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</si>
  <si>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</si>
  <si>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</si>
  <si>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</si>
  <si>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</si>
  <si>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</si>
  <si>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</si>
  <si>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</si>
  <si>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</si>
  <si>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</si>
  <si>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</si>
  <si>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</si>
  <si>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</si>
  <si>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</si>
  <si>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</si>
  <si>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</si>
  <si>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</si>
  <si>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</si>
  <si>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</si>
  <si>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</si>
  <si>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</si>
  <si>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</si>
  <si>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</si>
  <si>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</si>
  <si>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</si>
  <si>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</si>
  <si>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</si>
  <si>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</si>
  <si>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</si>
  <si>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</si>
  <si>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</si>
  <si>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</si>
  <si>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</si>
  <si>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</si>
  <si>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</si>
  <si>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</si>
  <si>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</si>
  <si>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</si>
  <si>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</si>
  <si>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</si>
  <si>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</si>
  <si>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</si>
  <si>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</si>
  <si>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</si>
  <si>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</si>
  <si>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</si>
  <si>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</si>
  <si>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</si>
  <si>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</si>
  <si>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</si>
  <si>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</si>
  <si>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</si>
  <si>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</si>
  <si>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</si>
  <si>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</si>
  <si>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</si>
  <si>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</si>
  <si>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</si>
  <si>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</si>
  <si>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</si>
  <si>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</si>
  <si>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</si>
  <si>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</si>
  <si>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</si>
  <si>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</si>
  <si>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</si>
  <si>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</si>
  <si>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</si>
  <si>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</si>
  <si>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</si>
  <si>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</si>
  <si>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</si>
  <si>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</si>
  <si>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</si>
  <si>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</si>
  <si>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</si>
  <si>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</si>
  <si>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</si>
  <si>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</si>
  <si>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</si>
  <si>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</si>
  <si>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</si>
  <si>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</si>
  <si>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</si>
  <si>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</si>
  <si>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</si>
  <si>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</si>
  <si>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</si>
  <si>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</si>
  <si>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</si>
  <si>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</si>
  <si>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</si>
  <si>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</si>
  <si>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</si>
  <si>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</si>
  <si>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</si>
  <si>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</si>
  <si>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</si>
  <si>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</si>
  <si>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</si>
  <si>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</si>
  <si>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</si>
  <si>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</si>
  <si>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</si>
  <si>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</si>
  <si>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</si>
  <si>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</si>
  <si>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</si>
  <si>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</si>
  <si>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</si>
  <si>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</si>
  <si>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</si>
  <si>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</si>
  <si>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</si>
  <si>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</si>
  <si>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</si>
  <si>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</si>
  <si>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</si>
  <si>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</si>
  <si>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</si>
  <si>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</si>
  <si>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</si>
  <si>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</si>
  <si>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</si>
  <si>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</si>
  <si>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</si>
  <si>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</si>
  <si>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</si>
  <si>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</si>
  <si>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</si>
  <si>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</si>
  <si>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</si>
  <si>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</si>
  <si>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</si>
  <si>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</si>
  <si>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</si>
  <si>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</si>
  <si>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</si>
  <si>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</si>
  <si>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</si>
  <si>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</si>
  <si>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</si>
  <si>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</si>
  <si>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</si>
  <si>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</si>
  <si>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</si>
  <si>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</si>
  <si>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</si>
  <si>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</si>
  <si>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</si>
  <si>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</si>
  <si>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</si>
  <si>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</si>
  <si>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</si>
  <si>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</si>
  <si>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</si>
  <si>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</si>
  <si>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</si>
  <si>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</si>
  <si>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</si>
  <si>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</si>
  <si>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</si>
  <si>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</si>
  <si>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</si>
  <si>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</si>
  <si>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</si>
  <si>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</si>
  <si>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</si>
  <si>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</si>
  <si>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</si>
  <si>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</si>
  <si>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</si>
  <si>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</si>
  <si>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</si>
  <si>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</si>
  <si>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</si>
  <si>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</si>
  <si>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</si>
  <si>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</si>
  <si>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</si>
  <si>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</si>
  <si>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</si>
  <si>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</si>
  <si>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</si>
  <si>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</si>
  <si>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</si>
  <si>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</si>
  <si>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</si>
  <si>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</si>
  <si>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</si>
  <si>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</si>
  <si>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</si>
  <si>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</si>
  <si>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</si>
  <si>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</si>
  <si>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</si>
  <si>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</si>
  <si>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</si>
  <si>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</si>
  <si>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</si>
  <si>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</si>
  <si>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</si>
  <si>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</si>
  <si>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</si>
  <si>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</si>
  <si>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</si>
  <si>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</si>
  <si>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</si>
  <si>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</si>
  <si>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</si>
  <si>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</si>
  <si>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</si>
  <si>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</si>
  <si>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</si>
  <si>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</si>
  <si>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</si>
  <si>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</si>
  <si>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</si>
  <si>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</si>
  <si>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</si>
  <si>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</si>
  <si>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</si>
  <si>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</si>
  <si>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</si>
  <si>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</si>
  <si>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</si>
  <si>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</si>
  <si>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</si>
  <si>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</si>
  <si>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</si>
  <si>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</si>
  <si>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</si>
  <si>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</si>
  <si>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</si>
  <si>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</si>
  <si>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</si>
  <si>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</si>
  <si>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</si>
  <si>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</si>
  <si>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</si>
  <si>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</si>
  <si>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</si>
  <si>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</si>
  <si>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</si>
  <si>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</si>
  <si>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</si>
  <si>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</si>
  <si>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</si>
  <si>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</si>
  <si>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</si>
  <si>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</si>
  <si>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</si>
  <si>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</si>
  <si>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</si>
  <si>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</si>
  <si>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</si>
  <si>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</si>
  <si>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</si>
  <si>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</si>
  <si>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</si>
  <si>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</si>
  <si>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</si>
  <si>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</si>
  <si>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</si>
  <si>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</si>
  <si>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</si>
  <si>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</si>
  <si>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</si>
  <si>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</si>
  <si>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</si>
  <si>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</si>
  <si>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</si>
  <si>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</si>
  <si>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</si>
  <si>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</si>
  <si>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</si>
  <si>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</si>
  <si>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</si>
  <si>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</si>
  <si>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</si>
  <si>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</si>
  <si>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</si>
  <si>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</si>
  <si>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</si>
  <si>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</si>
  <si>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</si>
  <si>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</si>
  <si>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</si>
  <si>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</si>
  <si>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</si>
  <si>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</si>
  <si>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</si>
  <si>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</si>
  <si>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</si>
  <si>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</si>
  <si>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</si>
  <si>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</si>
  <si>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</si>
  <si>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</si>
  <si>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</si>
  <si>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</si>
  <si>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</si>
  <si>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</si>
  <si>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</si>
  <si>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</si>
  <si>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</si>
  <si>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</si>
  <si>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</si>
  <si>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</si>
  <si>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</si>
  <si>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</si>
  <si>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</si>
  <si>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</si>
  <si>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</si>
  <si>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</si>
  <si>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</si>
  <si>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</si>
  <si>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</si>
  <si>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</si>
  <si>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</si>
  <si>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</si>
  <si>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</si>
  <si>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</si>
  <si>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</si>
  <si>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</si>
  <si>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</si>
  <si>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</si>
  <si>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</si>
  <si>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</si>
  <si>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</si>
  <si>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</si>
  <si>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</si>
  <si>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</si>
  <si>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</si>
  <si>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</si>
  <si>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</si>
  <si>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</si>
  <si>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</si>
  <si>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</si>
  <si>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</si>
  <si>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</si>
  <si>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</si>
  <si>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</si>
  <si>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</si>
  <si>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</si>
  <si>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</si>
  <si>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</si>
  <si>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</si>
  <si>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</si>
  <si>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</si>
  <si>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</si>
  <si>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</si>
  <si>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</si>
  <si>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</si>
  <si>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</si>
  <si>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</si>
  <si>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</si>
  <si>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</si>
  <si>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</si>
  <si>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</si>
  <si>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</si>
  <si>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</si>
  <si>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</si>
  <si>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</si>
  <si>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</si>
  <si>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</si>
  <si>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</si>
  <si>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</si>
  <si>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</si>
  <si>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</si>
  <si>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</si>
  <si>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</si>
  <si>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</si>
  <si>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</si>
  <si>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</si>
  <si>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</si>
  <si>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</si>
  <si>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</si>
  <si>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</si>
  <si>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</si>
  <si>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</si>
  <si>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</si>
  <si>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</si>
  <si>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</si>
  <si>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</si>
  <si>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</si>
  <si>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</si>
  <si>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</si>
  <si>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</si>
  <si>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</si>
  <si>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</si>
  <si>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</si>
  <si>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</si>
  <si>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</si>
  <si>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</si>
  <si>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</si>
  <si>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</si>
  <si>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</si>
  <si>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</si>
  <si>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</si>
  <si>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</si>
  <si>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</si>
  <si>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</si>
  <si>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</si>
  <si>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</si>
  <si>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</si>
  <si>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</si>
  <si>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</si>
  <si>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</si>
  <si>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</si>
  <si>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</si>
  <si>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</si>
  <si>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</si>
  <si>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</si>
  <si>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</si>
  <si>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</si>
  <si>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</si>
  <si>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</si>
  <si>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</si>
  <si>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</si>
  <si>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</si>
  <si>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</si>
  <si>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</si>
  <si>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</si>
  <si>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</si>
  <si>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</si>
  <si>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</si>
  <si>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</si>
  <si>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</si>
  <si>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</si>
  <si>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</si>
  <si>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</si>
  <si>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</si>
  <si>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</si>
  <si>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</si>
  <si>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</si>
  <si>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</si>
  <si>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</si>
  <si>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</si>
  <si>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</si>
  <si>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</si>
  <si>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</si>
  <si>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</si>
  <si>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</si>
  <si>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</si>
  <si>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</si>
  <si>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</si>
  <si>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</si>
  <si>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</si>
  <si>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</si>
  <si>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</si>
  <si>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</si>
  <si>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</si>
  <si>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</si>
  <si>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</si>
  <si>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</si>
  <si>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</si>
  <si>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</si>
  <si>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</si>
  <si>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</si>
  <si>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</si>
  <si>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</si>
  <si>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</si>
  <si>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</si>
  <si>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</si>
  <si>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</si>
  <si>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</si>
  <si>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</si>
  <si>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</si>
  <si>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</si>
  <si>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</si>
  <si>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</si>
  <si>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</si>
  <si>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</si>
  <si>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</si>
  <si>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</si>
  <si>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</si>
  <si>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</si>
  <si>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</si>
  <si>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</si>
  <si>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</si>
  <si>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</si>
  <si>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</si>
  <si>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</si>
  <si>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</si>
  <si>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</si>
  <si>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</si>
  <si>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</si>
  <si>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</si>
  <si>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</si>
  <si>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</si>
  <si>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</si>
  <si>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</si>
  <si>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</si>
  <si>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</si>
  <si>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</si>
  <si>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</si>
  <si>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</si>
  <si>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</si>
  <si>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</si>
  <si>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</si>
  <si>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</si>
  <si>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</si>
  <si>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</si>
  <si>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</si>
  <si>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</si>
  <si>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</si>
  <si>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</si>
  <si>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</si>
  <si>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</si>
  <si>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</si>
  <si>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</si>
  <si>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</si>
  <si>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</si>
  <si>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</si>
  <si>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</si>
  <si>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</si>
  <si>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</si>
  <si>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</si>
  <si>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</si>
  <si>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</si>
  <si>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</si>
  <si>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</si>
  <si>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</si>
  <si>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</si>
  <si>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</si>
  <si>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</si>
  <si>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</si>
  <si>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</si>
  <si>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</si>
  <si>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</si>
  <si>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</si>
  <si>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</si>
  <si>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</si>
  <si>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</si>
  <si>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</si>
  <si>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</si>
  <si>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</si>
  <si>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</si>
  <si>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</si>
  <si>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</si>
  <si>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</si>
  <si>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</si>
  <si>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</si>
  <si>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</si>
  <si>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</si>
  <si>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</si>
  <si>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</si>
  <si>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</si>
  <si>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</si>
  <si>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</si>
  <si>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</si>
  <si>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</si>
  <si>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</si>
  <si>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</si>
  <si>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</si>
  <si>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</si>
  <si>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</si>
  <si>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</si>
  <si>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</si>
  <si>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</si>
  <si>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</si>
  <si>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</si>
  <si>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</si>
  <si>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</si>
  <si>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</si>
  <si>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</si>
  <si>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</si>
  <si>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</si>
  <si>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</si>
  <si>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</si>
  <si>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</si>
  <si>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</si>
  <si>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</si>
  <si>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</si>
  <si>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</si>
  <si>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</si>
  <si>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</si>
  <si>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</si>
  <si>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</si>
  <si>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</si>
  <si>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</si>
  <si>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</si>
  <si>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</si>
  <si>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</si>
  <si>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</si>
  <si>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</si>
  <si>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</si>
  <si>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</si>
  <si>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</si>
  <si>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</si>
  <si>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</si>
  <si>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</si>
  <si>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</si>
  <si>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</si>
  <si>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</si>
  <si>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</si>
  <si>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</si>
  <si>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</si>
  <si>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</si>
  <si>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</si>
  <si>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</si>
  <si>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</si>
  <si>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</si>
  <si>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</si>
  <si>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</si>
  <si>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</si>
  <si>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</si>
  <si>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</si>
  <si>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</si>
  <si>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</si>
  <si>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</si>
  <si>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</si>
  <si>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</si>
  <si>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</si>
  <si>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</si>
  <si>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</si>
  <si>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</si>
  <si>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</si>
  <si>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</si>
  <si>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</si>
  <si>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</si>
  <si>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</si>
  <si>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</si>
  <si>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</si>
  <si>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</si>
  <si>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</si>
  <si>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</si>
  <si>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</si>
  <si>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</si>
  <si>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PLYMOUTH SCHOOL DISTRICT</t>
  </si>
  <si>
    <t>07/10</t>
  </si>
  <si>
    <t>08/15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</si>
</sst>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F664" sqref="F66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447</v>
      </c>
      <c r="C2" s="21">
        <v>447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/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37552.730000000003</v>
      </c>
      <c r="G10" s="18">
        <v>-17671.66</v>
      </c>
      <c r="H10" s="18">
        <v>3231.74</v>
      </c>
      <c r="I10" s="18"/>
      <c r="J10" s="67">
        <f>SUM(I439)</f>
        <v>61666.29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112987.1</v>
      </c>
      <c r="G13" s="18">
        <v>18770.39</v>
      </c>
      <c r="H13" s="18">
        <v>22701.97</v>
      </c>
      <c r="I13" s="18"/>
      <c r="J13" s="67">
        <f>SUM(I441)</f>
        <v>362.62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11780.96</v>
      </c>
      <c r="G14" s="18">
        <v>2451.5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124873.45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287194.23999999999</v>
      </c>
      <c r="G19" s="41">
        <f>SUM(G9:G18)</f>
        <v>3550.2299999999996</v>
      </c>
      <c r="H19" s="41">
        <f>SUM(H9:H18)</f>
        <v>25933.71</v>
      </c>
      <c r="I19" s="41">
        <f>SUM(I9:I18)</f>
        <v>0</v>
      </c>
      <c r="J19" s="41">
        <f>SUM(J9:J18)</f>
        <v>62028.91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102833</v>
      </c>
      <c r="G24" s="18"/>
      <c r="H24" s="18">
        <v>8584.6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17578.71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102833</v>
      </c>
      <c r="G32" s="41">
        <f>SUM(G22:G31)</f>
        <v>0</v>
      </c>
      <c r="H32" s="41">
        <f>SUM(H22:H31)</f>
        <v>26163.309999999998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20931.8</v>
      </c>
      <c r="G44" s="18"/>
      <c r="H44" s="18">
        <v>14456.18</v>
      </c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3550.23</v>
      </c>
      <c r="H47" s="18">
        <v>-14685.78</v>
      </c>
      <c r="I47" s="18"/>
      <c r="J47" s="13">
        <f>SUM(I458)</f>
        <v>62028.91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163429.44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184361.24</v>
      </c>
      <c r="G50" s="41">
        <f>SUM(G35:G49)</f>
        <v>3550.23</v>
      </c>
      <c r="H50" s="41">
        <f>SUM(H35:H49)</f>
        <v>-229.60000000000036</v>
      </c>
      <c r="I50" s="41">
        <f>SUM(I35:I49)</f>
        <v>0</v>
      </c>
      <c r="J50" s="41">
        <f>SUM(J35:J49)</f>
        <v>62028.91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287194.23999999999</v>
      </c>
      <c r="G51" s="41">
        <f>G50+G32</f>
        <v>3550.23</v>
      </c>
      <c r="H51" s="41">
        <f>H50+H32</f>
        <v>25933.71</v>
      </c>
      <c r="I51" s="41">
        <f>I50+I32</f>
        <v>0</v>
      </c>
      <c r="J51" s="41">
        <f>J50+J32</f>
        <v>62028.91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3456687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3456687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18461.919999999998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147695.35999999999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265724.63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289685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721566.90999999992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22.82</v>
      </c>
      <c r="G95" s="18"/>
      <c r="H95" s="18"/>
      <c r="I95" s="18"/>
      <c r="J95" s="18">
        <v>20.57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71146.679999999993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>
        <v>2900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203851.49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203874.31</v>
      </c>
      <c r="G110" s="41">
        <f>SUM(G95:G109)</f>
        <v>71146.679999999993</v>
      </c>
      <c r="H110" s="41">
        <f>SUM(H95:H109)</f>
        <v>2900</v>
      </c>
      <c r="I110" s="41">
        <f>SUM(I95:I109)</f>
        <v>0</v>
      </c>
      <c r="J110" s="41">
        <f>SUM(J95:J109)</f>
        <v>20.57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4382128.22</v>
      </c>
      <c r="G111" s="41">
        <f>G59+G110</f>
        <v>71146.679999999993</v>
      </c>
      <c r="H111" s="41">
        <f>H59+H78+H93+H110</f>
        <v>2900</v>
      </c>
      <c r="I111" s="41">
        <f>I59+I110</f>
        <v>0</v>
      </c>
      <c r="J111" s="41">
        <f>J59+J110</f>
        <v>20.57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2094236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644027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2738263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420000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142606.22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1752.95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562606.22</v>
      </c>
      <c r="G135" s="41">
        <f>SUM(G122:G134)</f>
        <v>1752.95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3300869.2199999997</v>
      </c>
      <c r="G139" s="41">
        <f>G120+SUM(G135:G136)</f>
        <v>1752.95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663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253038.51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93280.6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149994.28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149994.28</v>
      </c>
      <c r="G161" s="41">
        <f>SUM(G149:G160)</f>
        <v>93280.6</v>
      </c>
      <c r="H161" s="41">
        <f>SUM(H149:H160)</f>
        <v>253701.51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2509.4899999999998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>
        <v>26037.919999999998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152503.76999999999</v>
      </c>
      <c r="G168" s="41">
        <f>G146+G161+SUM(G162:G167)</f>
        <v>93280.6</v>
      </c>
      <c r="H168" s="41">
        <f>H146+H161+SUM(H162:H167)</f>
        <v>279739.43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60755.69</v>
      </c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60755.69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24637.38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24637.38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85393.07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7920894.2799999993</v>
      </c>
      <c r="G192" s="47">
        <f>G111+G139+G168+G191</f>
        <v>166180.22999999998</v>
      </c>
      <c r="H192" s="47">
        <f>H111+H139+H168+H191</f>
        <v>282639.43</v>
      </c>
      <c r="I192" s="47">
        <f>I111+I139+I168+I191</f>
        <v>0</v>
      </c>
      <c r="J192" s="47">
        <f>J111+J139+J191</f>
        <v>20.57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1930304.24</v>
      </c>
      <c r="G196" s="18">
        <v>898108.86</v>
      </c>
      <c r="H196" s="18">
        <v>18305.05</v>
      </c>
      <c r="I196" s="18">
        <v>78010.45</v>
      </c>
      <c r="J196" s="18">
        <v>14273.64</v>
      </c>
      <c r="K196" s="18">
        <v>1572.5</v>
      </c>
      <c r="L196" s="19">
        <f>SUM(F196:K196)</f>
        <v>2940574.74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928720.1</v>
      </c>
      <c r="G197" s="18">
        <v>442418.86</v>
      </c>
      <c r="H197" s="18">
        <v>335061.01</v>
      </c>
      <c r="I197" s="18">
        <v>3233.07</v>
      </c>
      <c r="J197" s="18">
        <v>2669.99</v>
      </c>
      <c r="K197" s="18"/>
      <c r="L197" s="19">
        <f>SUM(F197:K197)</f>
        <v>1712103.03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99420.78</v>
      </c>
      <c r="G199" s="18">
        <v>16223.44</v>
      </c>
      <c r="H199" s="18">
        <v>14606.65</v>
      </c>
      <c r="I199" s="18">
        <v>5004.1000000000004</v>
      </c>
      <c r="J199" s="18">
        <v>231.55</v>
      </c>
      <c r="K199" s="18">
        <v>2716</v>
      </c>
      <c r="L199" s="19">
        <f>SUM(F199:K199)</f>
        <v>138202.51999999999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266234.77</v>
      </c>
      <c r="G201" s="18">
        <v>138040.35</v>
      </c>
      <c r="H201" s="18">
        <v>236237.49</v>
      </c>
      <c r="I201" s="18">
        <v>2187.7199999999998</v>
      </c>
      <c r="J201" s="18"/>
      <c r="K201" s="18"/>
      <c r="L201" s="19">
        <f t="shared" ref="L201:L207" si="0">SUM(F201:K201)</f>
        <v>642700.32999999996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44378</v>
      </c>
      <c r="G202" s="18">
        <v>92734.94</v>
      </c>
      <c r="H202" s="18">
        <v>578.64</v>
      </c>
      <c r="I202" s="18">
        <v>6387.66</v>
      </c>
      <c r="J202" s="18"/>
      <c r="K202" s="18"/>
      <c r="L202" s="19">
        <f t="shared" si="0"/>
        <v>144079.24000000002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70645</v>
      </c>
      <c r="G203" s="18">
        <v>17486.939999999999</v>
      </c>
      <c r="H203" s="18">
        <v>226730.64</v>
      </c>
      <c r="I203" s="18">
        <v>1105.31</v>
      </c>
      <c r="J203" s="18"/>
      <c r="K203" s="18">
        <v>3834.4</v>
      </c>
      <c r="L203" s="19">
        <f t="shared" si="0"/>
        <v>319802.29000000004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237639.62</v>
      </c>
      <c r="G204" s="18">
        <v>145823.54999999999</v>
      </c>
      <c r="H204" s="18">
        <v>2036.3</v>
      </c>
      <c r="I204" s="18">
        <v>2800.51</v>
      </c>
      <c r="J204" s="18">
        <v>1208.18</v>
      </c>
      <c r="K204" s="18">
        <v>1344</v>
      </c>
      <c r="L204" s="19">
        <f t="shared" si="0"/>
        <v>390852.16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>
        <v>285</v>
      </c>
      <c r="I205" s="18"/>
      <c r="J205" s="18"/>
      <c r="K205" s="18"/>
      <c r="L205" s="19">
        <f t="shared" si="0"/>
        <v>285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191317.52</v>
      </c>
      <c r="G206" s="18">
        <v>116124.48</v>
      </c>
      <c r="H206" s="18">
        <v>153929.37</v>
      </c>
      <c r="I206" s="18">
        <v>123765.62</v>
      </c>
      <c r="J206" s="18">
        <v>130.80000000000001</v>
      </c>
      <c r="K206" s="18"/>
      <c r="L206" s="19">
        <f t="shared" si="0"/>
        <v>585267.79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181655.33</v>
      </c>
      <c r="I207" s="18"/>
      <c r="J207" s="18"/>
      <c r="K207" s="18"/>
      <c r="L207" s="19">
        <f t="shared" si="0"/>
        <v>181655.33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3768660.03</v>
      </c>
      <c r="G210" s="41">
        <f t="shared" si="1"/>
        <v>1866961.42</v>
      </c>
      <c r="H210" s="41">
        <f t="shared" si="1"/>
        <v>1169425.48</v>
      </c>
      <c r="I210" s="41">
        <f t="shared" si="1"/>
        <v>222494.44</v>
      </c>
      <c r="J210" s="41">
        <f t="shared" si="1"/>
        <v>18514.159999999996</v>
      </c>
      <c r="K210" s="41">
        <f t="shared" si="1"/>
        <v>9466.9</v>
      </c>
      <c r="L210" s="41">
        <f t="shared" si="1"/>
        <v>7055522.4300000006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53877.51</v>
      </c>
      <c r="G252" s="18">
        <v>4421.5200000000004</v>
      </c>
      <c r="H252" s="18">
        <v>7465.5</v>
      </c>
      <c r="I252" s="18">
        <v>503.76</v>
      </c>
      <c r="J252" s="18"/>
      <c r="K252" s="18"/>
      <c r="L252" s="19">
        <f t="shared" si="6"/>
        <v>66268.289999999994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>
        <v>65859.240000000005</v>
      </c>
      <c r="J254" s="18"/>
      <c r="K254" s="18"/>
      <c r="L254" s="19">
        <f t="shared" si="6"/>
        <v>65859.240000000005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53877.51</v>
      </c>
      <c r="G255" s="41">
        <f t="shared" si="7"/>
        <v>4421.5200000000004</v>
      </c>
      <c r="H255" s="41">
        <f t="shared" si="7"/>
        <v>7465.5</v>
      </c>
      <c r="I255" s="41">
        <f t="shared" si="7"/>
        <v>66363</v>
      </c>
      <c r="J255" s="41">
        <f t="shared" si="7"/>
        <v>0</v>
      </c>
      <c r="K255" s="41">
        <f t="shared" si="7"/>
        <v>0</v>
      </c>
      <c r="L255" s="41">
        <f>SUM(F255:K255)</f>
        <v>132127.53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3822537.5399999996</v>
      </c>
      <c r="G256" s="41">
        <f t="shared" si="8"/>
        <v>1871382.94</v>
      </c>
      <c r="H256" s="41">
        <f t="shared" si="8"/>
        <v>1176890.98</v>
      </c>
      <c r="I256" s="41">
        <f t="shared" si="8"/>
        <v>288857.44</v>
      </c>
      <c r="J256" s="41">
        <f t="shared" si="8"/>
        <v>18514.159999999996</v>
      </c>
      <c r="K256" s="41">
        <f t="shared" si="8"/>
        <v>9466.9</v>
      </c>
      <c r="L256" s="41">
        <f t="shared" si="8"/>
        <v>7187649.9600000009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700000</v>
      </c>
      <c r="L259" s="19">
        <f>SUM(F259:K259)</f>
        <v>700000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66951.100000000006</v>
      </c>
      <c r="L260" s="19">
        <f>SUM(F260:K260)</f>
        <v>66951.100000000006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766951.1</v>
      </c>
      <c r="L269" s="41">
        <f t="shared" si="9"/>
        <v>766951.1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3822537.5399999996</v>
      </c>
      <c r="G270" s="42">
        <f t="shared" si="11"/>
        <v>1871382.94</v>
      </c>
      <c r="H270" s="42">
        <f t="shared" si="11"/>
        <v>1176890.98</v>
      </c>
      <c r="I270" s="42">
        <f t="shared" si="11"/>
        <v>288857.44</v>
      </c>
      <c r="J270" s="42">
        <f t="shared" si="11"/>
        <v>18514.159999999996</v>
      </c>
      <c r="K270" s="42">
        <f t="shared" si="11"/>
        <v>776418</v>
      </c>
      <c r="L270" s="42">
        <f t="shared" si="11"/>
        <v>7954601.0600000005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23809.64</v>
      </c>
      <c r="G275" s="18">
        <v>6800</v>
      </c>
      <c r="H275" s="18"/>
      <c r="I275" s="18">
        <v>5749.25</v>
      </c>
      <c r="J275" s="18">
        <v>20288.669999999998</v>
      </c>
      <c r="K275" s="18"/>
      <c r="L275" s="19">
        <f>SUM(F275:K275)</f>
        <v>56647.56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162952.38</v>
      </c>
      <c r="G280" s="18">
        <v>58398.239999999998</v>
      </c>
      <c r="H280" s="18">
        <v>10481.129999999999</v>
      </c>
      <c r="I280" s="18">
        <v>19440</v>
      </c>
      <c r="J280" s="18"/>
      <c r="K280" s="18"/>
      <c r="L280" s="19">
        <f t="shared" ref="L280:L286" si="12">SUM(F280:K280)</f>
        <v>251271.75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8078.24</v>
      </c>
      <c r="L284" s="19">
        <f t="shared" si="12"/>
        <v>8078.24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1257.76</v>
      </c>
      <c r="I286" s="18"/>
      <c r="J286" s="18"/>
      <c r="K286" s="18"/>
      <c r="L286" s="19">
        <f t="shared" si="12"/>
        <v>1257.76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186762.02000000002</v>
      </c>
      <c r="G289" s="42">
        <f t="shared" si="13"/>
        <v>65198.239999999998</v>
      </c>
      <c r="H289" s="42">
        <f t="shared" si="13"/>
        <v>11738.89</v>
      </c>
      <c r="I289" s="42">
        <f t="shared" si="13"/>
        <v>25189.25</v>
      </c>
      <c r="J289" s="42">
        <f t="shared" si="13"/>
        <v>20288.669999999998</v>
      </c>
      <c r="K289" s="42">
        <f t="shared" si="13"/>
        <v>8078.24</v>
      </c>
      <c r="L289" s="41">
        <f t="shared" si="13"/>
        <v>317255.31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186762.02000000002</v>
      </c>
      <c r="G337" s="41">
        <f t="shared" si="20"/>
        <v>65198.239999999998</v>
      </c>
      <c r="H337" s="41">
        <f t="shared" si="20"/>
        <v>11738.89</v>
      </c>
      <c r="I337" s="41">
        <f t="shared" si="20"/>
        <v>25189.25</v>
      </c>
      <c r="J337" s="41">
        <f t="shared" si="20"/>
        <v>20288.669999999998</v>
      </c>
      <c r="K337" s="41">
        <f t="shared" si="20"/>
        <v>8078.24</v>
      </c>
      <c r="L337" s="41">
        <f t="shared" si="20"/>
        <v>317255.31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186762.02000000002</v>
      </c>
      <c r="G351" s="41">
        <f>G337</f>
        <v>65198.239999999998</v>
      </c>
      <c r="H351" s="41">
        <f>H337</f>
        <v>11738.89</v>
      </c>
      <c r="I351" s="41">
        <f>I337</f>
        <v>25189.25</v>
      </c>
      <c r="J351" s="41">
        <f>J337</f>
        <v>20288.669999999998</v>
      </c>
      <c r="K351" s="47">
        <f>K337+K350</f>
        <v>8078.24</v>
      </c>
      <c r="L351" s="41">
        <f>L337+L350</f>
        <v>317255.31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162630</v>
      </c>
      <c r="I357" s="18"/>
      <c r="J357" s="18"/>
      <c r="K357" s="18"/>
      <c r="L357" s="13">
        <f>SUM(F357:K357)</f>
        <v>162630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162630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162630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17.87</v>
      </c>
      <c r="I395" s="18"/>
      <c r="J395" s="24" t="s">
        <v>289</v>
      </c>
      <c r="K395" s="24" t="s">
        <v>289</v>
      </c>
      <c r="L395" s="56">
        <f t="shared" si="26"/>
        <v>17.87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2.7</v>
      </c>
      <c r="I396" s="18"/>
      <c r="J396" s="24" t="s">
        <v>289</v>
      </c>
      <c r="K396" s="24" t="s">
        <v>289</v>
      </c>
      <c r="L396" s="56">
        <f t="shared" si="26"/>
        <v>2.7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20.57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20.57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20.57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20.57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>
        <v>24637.38</v>
      </c>
      <c r="L422" s="56">
        <f t="shared" si="29"/>
        <v>24637.38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24637.38</v>
      </c>
      <c r="L426" s="47">
        <f t="shared" si="30"/>
        <v>24637.38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24637.38</v>
      </c>
      <c r="L433" s="47">
        <f t="shared" si="32"/>
        <v>24637.38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61666.29</v>
      </c>
      <c r="H439" s="18"/>
      <c r="I439" s="56">
        <f t="shared" si="33"/>
        <v>61666.29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v>362.62</v>
      </c>
      <c r="H441" s="18"/>
      <c r="I441" s="56">
        <f t="shared" si="33"/>
        <v>362.62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62028.91</v>
      </c>
      <c r="H445" s="13">
        <f>SUM(H438:H444)</f>
        <v>0</v>
      </c>
      <c r="I445" s="13">
        <f>SUM(I438:I444)</f>
        <v>62028.91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62028.91</v>
      </c>
      <c r="H458" s="18"/>
      <c r="I458" s="56">
        <f t="shared" si="34"/>
        <v>62028.91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62028.91</v>
      </c>
      <c r="H459" s="83">
        <f>SUM(H453:H458)</f>
        <v>0</v>
      </c>
      <c r="I459" s="83">
        <f>SUM(I453:I458)</f>
        <v>62028.91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62028.91</v>
      </c>
      <c r="H460" s="42">
        <f>H451+H459</f>
        <v>0</v>
      </c>
      <c r="I460" s="42">
        <f>I451+I459</f>
        <v>62028.91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218068.02</v>
      </c>
      <c r="G464" s="18">
        <v>0</v>
      </c>
      <c r="H464" s="18">
        <v>34386.28</v>
      </c>
      <c r="I464" s="18"/>
      <c r="J464" s="18">
        <v>86645.72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7920894.2800000003</v>
      </c>
      <c r="G467" s="18">
        <v>166180.23000000001</v>
      </c>
      <c r="H467" s="18">
        <v>282639.43</v>
      </c>
      <c r="I467" s="18"/>
      <c r="J467" s="18">
        <v>20.57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7920894.2800000003</v>
      </c>
      <c r="G469" s="53">
        <f>SUM(G467:G468)</f>
        <v>166180.23000000001</v>
      </c>
      <c r="H469" s="53">
        <f>SUM(H467:H468)</f>
        <v>282639.43</v>
      </c>
      <c r="I469" s="53">
        <f>SUM(I467:I468)</f>
        <v>0</v>
      </c>
      <c r="J469" s="53">
        <f>SUM(J467:J468)</f>
        <v>20.57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7954601.0599999996</v>
      </c>
      <c r="G471" s="18">
        <v>162630</v>
      </c>
      <c r="H471" s="18">
        <v>317255.31</v>
      </c>
      <c r="I471" s="18"/>
      <c r="J471" s="18">
        <v>24637.38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7954601.0599999996</v>
      </c>
      <c r="G473" s="53">
        <f>SUM(G471:G472)</f>
        <v>162630</v>
      </c>
      <c r="H473" s="53">
        <f>SUM(H471:H472)</f>
        <v>317255.31</v>
      </c>
      <c r="I473" s="53">
        <f>SUM(I471:I472)</f>
        <v>0</v>
      </c>
      <c r="J473" s="53">
        <f>SUM(J471:J472)</f>
        <v>24637.38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184361.24000000022</v>
      </c>
      <c r="G475" s="53">
        <f>(G464+G469)- G473</f>
        <v>3550.2300000000105</v>
      </c>
      <c r="H475" s="53">
        <f>(H464+H469)- H473</f>
        <v>-229.60000000003492</v>
      </c>
      <c r="I475" s="53">
        <f>(I464+I469)- I473</f>
        <v>0</v>
      </c>
      <c r="J475" s="53">
        <f>(J464+J469)- J473</f>
        <v>62028.91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5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3494639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2.69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2800000</v>
      </c>
      <c r="G494" s="18"/>
      <c r="H494" s="18"/>
      <c r="I494" s="18"/>
      <c r="J494" s="18"/>
      <c r="K494" s="53">
        <f>SUM(F494:J494)</f>
        <v>2800000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700000</v>
      </c>
      <c r="G496" s="18"/>
      <c r="H496" s="18"/>
      <c r="I496" s="18"/>
      <c r="J496" s="18"/>
      <c r="K496" s="53">
        <f t="shared" si="35"/>
        <v>700000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2100000</v>
      </c>
      <c r="G497" s="204"/>
      <c r="H497" s="204"/>
      <c r="I497" s="204"/>
      <c r="J497" s="204"/>
      <c r="K497" s="205">
        <f t="shared" si="35"/>
        <v>2100000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85675.9</v>
      </c>
      <c r="G498" s="18"/>
      <c r="H498" s="18"/>
      <c r="I498" s="18"/>
      <c r="J498" s="18"/>
      <c r="K498" s="53">
        <f t="shared" si="35"/>
        <v>85675.9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2185675.9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2185675.9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700000</v>
      </c>
      <c r="G500" s="204"/>
      <c r="H500" s="204"/>
      <c r="I500" s="204"/>
      <c r="J500" s="204"/>
      <c r="K500" s="205">
        <f t="shared" si="35"/>
        <v>700000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47650</v>
      </c>
      <c r="G501" s="18"/>
      <c r="H501" s="18"/>
      <c r="I501" s="18"/>
      <c r="J501" s="18"/>
      <c r="K501" s="53">
        <f t="shared" si="35"/>
        <v>47650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747650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747650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924760.1</v>
      </c>
      <c r="G520" s="18">
        <v>442115.92</v>
      </c>
      <c r="H520" s="18">
        <v>335025.01</v>
      </c>
      <c r="I520" s="18">
        <v>3233.07</v>
      </c>
      <c r="J520" s="18">
        <v>2669.99</v>
      </c>
      <c r="K520" s="18"/>
      <c r="L520" s="88">
        <f>SUM(F520:K520)</f>
        <v>1707804.09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924760.1</v>
      </c>
      <c r="G523" s="108">
        <f t="shared" ref="G523:L523" si="36">SUM(G520:G522)</f>
        <v>442115.92</v>
      </c>
      <c r="H523" s="108">
        <f t="shared" si="36"/>
        <v>335025.01</v>
      </c>
      <c r="I523" s="108">
        <f t="shared" si="36"/>
        <v>3233.07</v>
      </c>
      <c r="J523" s="108">
        <f t="shared" si="36"/>
        <v>2669.99</v>
      </c>
      <c r="K523" s="108">
        <f t="shared" si="36"/>
        <v>0</v>
      </c>
      <c r="L523" s="89">
        <f t="shared" si="36"/>
        <v>1707804.09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208617.37</v>
      </c>
      <c r="G525" s="18">
        <v>106560.29</v>
      </c>
      <c r="H525" s="18">
        <v>176994.65</v>
      </c>
      <c r="I525" s="18">
        <v>1275.3800000000001</v>
      </c>
      <c r="J525" s="18"/>
      <c r="K525" s="18"/>
      <c r="L525" s="88">
        <f>SUM(F525:K525)</f>
        <v>493447.68999999994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208617.37</v>
      </c>
      <c r="G528" s="89">
        <f t="shared" ref="G528:L528" si="37">SUM(G525:G527)</f>
        <v>106560.29</v>
      </c>
      <c r="H528" s="89">
        <f t="shared" si="37"/>
        <v>176994.65</v>
      </c>
      <c r="I528" s="89">
        <f t="shared" si="37"/>
        <v>1275.3800000000001</v>
      </c>
      <c r="J528" s="89">
        <f t="shared" si="37"/>
        <v>0</v>
      </c>
      <c r="K528" s="89">
        <f t="shared" si="37"/>
        <v>0</v>
      </c>
      <c r="L528" s="89">
        <f t="shared" si="37"/>
        <v>493447.68999999994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17496.259999999998</v>
      </c>
      <c r="G531" s="18">
        <v>7551.78</v>
      </c>
      <c r="H531" s="18">
        <v>267.52999999999997</v>
      </c>
      <c r="I531" s="18"/>
      <c r="J531" s="18"/>
      <c r="K531" s="18"/>
      <c r="L531" s="88">
        <f>SUM(F531:K531)</f>
        <v>25315.569999999996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17496.259999999998</v>
      </c>
      <c r="G533" s="89">
        <f t="shared" ref="G533:L533" si="38">SUM(G530:G532)</f>
        <v>7551.78</v>
      </c>
      <c r="H533" s="89">
        <f t="shared" si="38"/>
        <v>267.52999999999997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25315.569999999996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17477.2</v>
      </c>
      <c r="I540" s="18"/>
      <c r="J540" s="18"/>
      <c r="K540" s="18"/>
      <c r="L540" s="88">
        <f>SUM(F540:K540)</f>
        <v>17477.2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17477.2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17477.2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1150873.73</v>
      </c>
      <c r="G544" s="89">
        <f t="shared" ref="G544:L544" si="41">G523+G528+G533+G538+G543</f>
        <v>556227.99</v>
      </c>
      <c r="H544" s="89">
        <f t="shared" si="41"/>
        <v>529764.39</v>
      </c>
      <c r="I544" s="89">
        <f t="shared" si="41"/>
        <v>4508.4500000000007</v>
      </c>
      <c r="J544" s="89">
        <f t="shared" si="41"/>
        <v>2669.99</v>
      </c>
      <c r="K544" s="89">
        <f t="shared" si="41"/>
        <v>0</v>
      </c>
      <c r="L544" s="89">
        <f t="shared" si="41"/>
        <v>2244044.5500000003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1707804.09</v>
      </c>
      <c r="G548" s="87">
        <f>L525</f>
        <v>493447.68999999994</v>
      </c>
      <c r="H548" s="87">
        <f>L530</f>
        <v>0</v>
      </c>
      <c r="I548" s="87">
        <f>L535</f>
        <v>0</v>
      </c>
      <c r="J548" s="87">
        <f>L540</f>
        <v>17477.2</v>
      </c>
      <c r="K548" s="87">
        <f>SUM(F548:J548)</f>
        <v>2218728.9800000004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25315.569999999996</v>
      </c>
      <c r="I549" s="87">
        <f>L536</f>
        <v>0</v>
      </c>
      <c r="J549" s="87">
        <f>L541</f>
        <v>0</v>
      </c>
      <c r="K549" s="87">
        <f>SUM(F549:J549)</f>
        <v>25315.569999999996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1707804.09</v>
      </c>
      <c r="G551" s="89">
        <f t="shared" si="42"/>
        <v>493447.68999999994</v>
      </c>
      <c r="H551" s="89">
        <f t="shared" si="42"/>
        <v>25315.569999999996</v>
      </c>
      <c r="I551" s="89">
        <f t="shared" si="42"/>
        <v>0</v>
      </c>
      <c r="J551" s="89">
        <f t="shared" si="42"/>
        <v>17477.2</v>
      </c>
      <c r="K551" s="89">
        <f t="shared" si="42"/>
        <v>2244044.5500000003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3960</v>
      </c>
      <c r="G561" s="18">
        <v>302.94</v>
      </c>
      <c r="H561" s="18"/>
      <c r="I561" s="18"/>
      <c r="J561" s="18"/>
      <c r="K561" s="18"/>
      <c r="L561" s="88">
        <f>SUM(F561:K561)</f>
        <v>4262.9399999999996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3960</v>
      </c>
      <c r="G564" s="89">
        <f t="shared" si="44"/>
        <v>302.94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4262.9399999999996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3960</v>
      </c>
      <c r="G570" s="89">
        <f t="shared" ref="G570:L570" si="46">G559+G564+G569</f>
        <v>302.94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4262.9399999999996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13401.98</v>
      </c>
      <c r="G578" s="18"/>
      <c r="H578" s="18"/>
      <c r="I578" s="87">
        <f t="shared" si="47"/>
        <v>13401.98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266712.57</v>
      </c>
      <c r="G581" s="18"/>
      <c r="H581" s="18"/>
      <c r="I581" s="87">
        <f t="shared" si="47"/>
        <v>266712.57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119728.17</v>
      </c>
      <c r="I590" s="18"/>
      <c r="J590" s="18"/>
      <c r="K590" s="104">
        <f t="shared" ref="K590:K596" si="48">SUM(H590:J590)</f>
        <v>119728.17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17477.2</v>
      </c>
      <c r="I591" s="18"/>
      <c r="J591" s="18"/>
      <c r="K591" s="104">
        <f t="shared" si="48"/>
        <v>17477.2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18152.8</v>
      </c>
      <c r="I593" s="18"/>
      <c r="J593" s="18"/>
      <c r="K593" s="104">
        <f t="shared" si="48"/>
        <v>18152.8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26297.16</v>
      </c>
      <c r="I594" s="18"/>
      <c r="J594" s="18"/>
      <c r="K594" s="104">
        <f t="shared" si="48"/>
        <v>26297.16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181655.33</v>
      </c>
      <c r="I597" s="108">
        <f>SUM(I590:I596)</f>
        <v>0</v>
      </c>
      <c r="J597" s="108">
        <f>SUM(J590:J596)</f>
        <v>0</v>
      </c>
      <c r="K597" s="108">
        <f>SUM(K590:K596)</f>
        <v>181655.33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38802.83</v>
      </c>
      <c r="I603" s="18"/>
      <c r="J603" s="18"/>
      <c r="K603" s="104">
        <f>SUM(H603:J603)</f>
        <v>38802.83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38802.83</v>
      </c>
      <c r="I604" s="108">
        <f>SUM(I601:I603)</f>
        <v>0</v>
      </c>
      <c r="J604" s="108">
        <f>SUM(J601:J603)</f>
        <v>0</v>
      </c>
      <c r="K604" s="108">
        <f>SUM(K601:K603)</f>
        <v>38802.83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6437.5</v>
      </c>
      <c r="G610" s="18">
        <v>788.54</v>
      </c>
      <c r="H610" s="18"/>
      <c r="I610" s="18"/>
      <c r="J610" s="18"/>
      <c r="K610" s="18"/>
      <c r="L610" s="88">
        <f>SUM(F610:K610)</f>
        <v>7226.04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6437.5</v>
      </c>
      <c r="G613" s="108">
        <f t="shared" si="49"/>
        <v>788.54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7226.04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287194.23999999999</v>
      </c>
      <c r="H616" s="109">
        <f>SUM(F51)</f>
        <v>287194.23999999999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3550.2299999999996</v>
      </c>
      <c r="H617" s="109">
        <f>SUM(G51)</f>
        <v>3550.23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25933.71</v>
      </c>
      <c r="H618" s="109">
        <f>SUM(H51)</f>
        <v>25933.71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62028.91</v>
      </c>
      <c r="H620" s="109">
        <f>SUM(J51)</f>
        <v>62028.91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184361.24</v>
      </c>
      <c r="H621" s="109">
        <f>F475</f>
        <v>184361.24000000022</v>
      </c>
      <c r="I621" s="121" t="s">
        <v>101</v>
      </c>
      <c r="J621" s="109">
        <f t="shared" ref="J621:J654" si="50">G621-H621</f>
        <v>-2.3283064365386963E-10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3550.23</v>
      </c>
      <c r="H622" s="109">
        <f>G475</f>
        <v>3550.2300000000105</v>
      </c>
      <c r="I622" s="121" t="s">
        <v>102</v>
      </c>
      <c r="J622" s="109">
        <f t="shared" si="50"/>
        <v>-1.0459189070388675E-11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-229.60000000000036</v>
      </c>
      <c r="H623" s="109">
        <f>H475</f>
        <v>-229.60000000003492</v>
      </c>
      <c r="I623" s="121" t="s">
        <v>103</v>
      </c>
      <c r="J623" s="109">
        <f t="shared" si="50"/>
        <v>3.4560798667371273E-11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62028.91</v>
      </c>
      <c r="H625" s="109">
        <f>J475</f>
        <v>62028.91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7920894.2799999993</v>
      </c>
      <c r="H626" s="104">
        <f>SUM(F467)</f>
        <v>7920894.2800000003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166180.22999999998</v>
      </c>
      <c r="H627" s="104">
        <f>SUM(G467)</f>
        <v>166180.23000000001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282639.43</v>
      </c>
      <c r="H628" s="104">
        <f>SUM(H467)</f>
        <v>282639.43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20.57</v>
      </c>
      <c r="H630" s="104">
        <f>SUM(J467)</f>
        <v>20.57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7954601.0600000005</v>
      </c>
      <c r="H631" s="104">
        <f>SUM(F471)</f>
        <v>7954601.0599999996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317255.31</v>
      </c>
      <c r="H632" s="104">
        <f>SUM(H471)</f>
        <v>317255.31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162630</v>
      </c>
      <c r="H634" s="104">
        <f>SUM(G471)</f>
        <v>162630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20.57</v>
      </c>
      <c r="H636" s="164">
        <f>SUM(J467)</f>
        <v>20.57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24637.38</v>
      </c>
      <c r="H637" s="164">
        <f>SUM(J471)</f>
        <v>24637.38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62028.91</v>
      </c>
      <c r="H639" s="104">
        <f>SUM(G460)</f>
        <v>62028.91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62028.91</v>
      </c>
      <c r="H641" s="104">
        <f>SUM(I460)</f>
        <v>62028.91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20.57</v>
      </c>
      <c r="H643" s="104">
        <f>H407</f>
        <v>20.57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20.57</v>
      </c>
      <c r="H645" s="104">
        <f>L407</f>
        <v>20.57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181655.33</v>
      </c>
      <c r="H646" s="104">
        <f>L207+L225+L243</f>
        <v>181655.33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38802.83</v>
      </c>
      <c r="H647" s="104">
        <f>(J256+J337)-(J254+J335)</f>
        <v>38802.829999999994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181655.33</v>
      </c>
      <c r="H648" s="104">
        <f>H597</f>
        <v>181655.33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7535407.7400000002</v>
      </c>
      <c r="G659" s="19">
        <f>(L228+L308+L358)</f>
        <v>0</v>
      </c>
      <c r="H659" s="19">
        <f>(L246+L327+L359)</f>
        <v>0</v>
      </c>
      <c r="I659" s="19">
        <f>SUM(F659:H659)</f>
        <v>7535407.7400000002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71146.679999999993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71146.679999999993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182913.09</v>
      </c>
      <c r="G661" s="19">
        <f>(L225+L305)-(J225+J305)</f>
        <v>0</v>
      </c>
      <c r="H661" s="19">
        <f>(L243+L324)-(J243+J324)</f>
        <v>0</v>
      </c>
      <c r="I661" s="19">
        <f>SUM(F661:H661)</f>
        <v>182913.09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326143.42</v>
      </c>
      <c r="G662" s="199">
        <f>SUM(G574:G586)+SUM(I601:I603)+L611</f>
        <v>0</v>
      </c>
      <c r="H662" s="199">
        <f>SUM(H574:H586)+SUM(J601:J603)+L612</f>
        <v>0</v>
      </c>
      <c r="I662" s="19">
        <f>SUM(F662:H662)</f>
        <v>326143.42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6955204.5500000007</v>
      </c>
      <c r="G663" s="19">
        <f>G659-SUM(G660:G662)</f>
        <v>0</v>
      </c>
      <c r="H663" s="19">
        <f>H659-SUM(H660:H662)</f>
        <v>0</v>
      </c>
      <c r="I663" s="19">
        <f>I659-SUM(I660:I662)</f>
        <v>6955204.5500000007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384.59</v>
      </c>
      <c r="G664" s="248"/>
      <c r="H664" s="248"/>
      <c r="I664" s="19">
        <f>SUM(F664:H664)</f>
        <v>384.59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18084.73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18084.73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18084.73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18084.73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PLYMOUTH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1954113.88</v>
      </c>
      <c r="C9" s="229">
        <f>'DOE25'!G196+'DOE25'!G214+'DOE25'!G232+'DOE25'!G275+'DOE25'!G294+'DOE25'!G313</f>
        <v>904908.86</v>
      </c>
    </row>
    <row r="10" spans="1:3" x14ac:dyDescent="0.2">
      <c r="A10" t="s">
        <v>779</v>
      </c>
      <c r="B10" s="240">
        <v>1858307.68</v>
      </c>
      <c r="C10" s="240">
        <v>894162.09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95806.2</v>
      </c>
      <c r="C12" s="240">
        <v>10746.77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1954113.88</v>
      </c>
      <c r="C13" s="231">
        <f>SUM(C10:C12)</f>
        <v>904908.86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928720.1</v>
      </c>
      <c r="C18" s="229">
        <f>'DOE25'!G197+'DOE25'!G215+'DOE25'!G233+'DOE25'!G276+'DOE25'!G295+'DOE25'!G314</f>
        <v>442418.86</v>
      </c>
    </row>
    <row r="19" spans="1:3" x14ac:dyDescent="0.2">
      <c r="A19" t="s">
        <v>779</v>
      </c>
      <c r="B19" s="240">
        <v>465217.25</v>
      </c>
      <c r="C19" s="240">
        <v>219002.45</v>
      </c>
    </row>
    <row r="20" spans="1:3" x14ac:dyDescent="0.2">
      <c r="A20" t="s">
        <v>780</v>
      </c>
      <c r="B20" s="240">
        <v>415591.33</v>
      </c>
      <c r="C20" s="240">
        <v>206835.38</v>
      </c>
    </row>
    <row r="21" spans="1:3" x14ac:dyDescent="0.2">
      <c r="A21" t="s">
        <v>781</v>
      </c>
      <c r="B21" s="240">
        <v>47911.519999999997</v>
      </c>
      <c r="C21" s="240">
        <v>16581.03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928720.10000000009</v>
      </c>
      <c r="C22" s="231">
        <f>SUM(C19:C21)</f>
        <v>442418.86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99420.78</v>
      </c>
      <c r="C36" s="235">
        <f>'DOE25'!G199+'DOE25'!G217+'DOE25'!G235+'DOE25'!G278+'DOE25'!G297+'DOE25'!G316</f>
        <v>16223.44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99420.78</v>
      </c>
      <c r="C39" s="240">
        <v>16223.44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99420.78</v>
      </c>
      <c r="C40" s="231">
        <f>SUM(C37:C39)</f>
        <v>16223.44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PLYMOUTH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4790880.29</v>
      </c>
      <c r="D5" s="20">
        <f>SUM('DOE25'!L196:L199)+SUM('DOE25'!L214:L217)+SUM('DOE25'!L232:L235)-F5-G5</f>
        <v>4769416.6100000003</v>
      </c>
      <c r="E5" s="243"/>
      <c r="F5" s="255">
        <f>SUM('DOE25'!J196:J199)+SUM('DOE25'!J214:J217)+SUM('DOE25'!J232:J235)</f>
        <v>17175.179999999997</v>
      </c>
      <c r="G5" s="53">
        <f>SUM('DOE25'!K196:K199)+SUM('DOE25'!K214:K217)+SUM('DOE25'!K232:K235)</f>
        <v>4288.5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642700.32999999996</v>
      </c>
      <c r="D6" s="20">
        <f>'DOE25'!L201+'DOE25'!L219+'DOE25'!L237-F6-G6</f>
        <v>642700.32999999996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144079.24000000002</v>
      </c>
      <c r="D7" s="20">
        <f>'DOE25'!L202+'DOE25'!L220+'DOE25'!L238-F7-G7</f>
        <v>144079.24000000002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208504.15000000002</v>
      </c>
      <c r="D8" s="243"/>
      <c r="E8" s="20">
        <f>'DOE25'!L203+'DOE25'!L221+'DOE25'!L239-F8-G8-D9-D11</f>
        <v>204669.75000000003</v>
      </c>
      <c r="F8" s="255">
        <f>'DOE25'!J203+'DOE25'!J221+'DOE25'!J239</f>
        <v>0</v>
      </c>
      <c r="G8" s="53">
        <f>'DOE25'!K203+'DOE25'!K221+'DOE25'!K239</f>
        <v>3834.4</v>
      </c>
      <c r="H8" s="259"/>
    </row>
    <row r="9" spans="1:9" x14ac:dyDescent="0.2">
      <c r="A9" s="32">
        <v>2310</v>
      </c>
      <c r="B9" t="s">
        <v>818</v>
      </c>
      <c r="C9" s="245">
        <f t="shared" si="0"/>
        <v>25049.24</v>
      </c>
      <c r="D9" s="244">
        <v>25049.24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6000</v>
      </c>
      <c r="D10" s="243"/>
      <c r="E10" s="244">
        <v>6000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86248.9</v>
      </c>
      <c r="D11" s="244">
        <v>86248.9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390852.16</v>
      </c>
      <c r="D12" s="20">
        <f>'DOE25'!L204+'DOE25'!L222+'DOE25'!L240-F12-G12</f>
        <v>388299.98</v>
      </c>
      <c r="E12" s="243"/>
      <c r="F12" s="255">
        <f>'DOE25'!J204+'DOE25'!J222+'DOE25'!J240</f>
        <v>1208.18</v>
      </c>
      <c r="G12" s="53">
        <f>'DOE25'!K204+'DOE25'!K222+'DOE25'!K240</f>
        <v>1344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285</v>
      </c>
      <c r="D13" s="243"/>
      <c r="E13" s="20">
        <f>'DOE25'!L205+'DOE25'!L223+'DOE25'!L241-F13-G13</f>
        <v>285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585267.79</v>
      </c>
      <c r="D14" s="20">
        <f>'DOE25'!L206+'DOE25'!L224+'DOE25'!L242-F14-G14</f>
        <v>585136.99</v>
      </c>
      <c r="E14" s="243"/>
      <c r="F14" s="255">
        <f>'DOE25'!J206+'DOE25'!J224+'DOE25'!J242</f>
        <v>130.80000000000001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181655.33</v>
      </c>
      <c r="D15" s="20">
        <f>'DOE25'!L207+'DOE25'!L225+'DOE25'!L243-F15-G15</f>
        <v>181655.33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66268.289999999994</v>
      </c>
      <c r="D19" s="20">
        <f>'DOE25'!L252-F19-G19</f>
        <v>66268.289999999994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65859.240000000005</v>
      </c>
      <c r="D22" s="243"/>
      <c r="E22" s="243"/>
      <c r="F22" s="255">
        <f>'DOE25'!L254+'DOE25'!L335</f>
        <v>65859.240000000005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766951.1</v>
      </c>
      <c r="D25" s="243"/>
      <c r="E25" s="243"/>
      <c r="F25" s="258"/>
      <c r="G25" s="256"/>
      <c r="H25" s="257">
        <f>'DOE25'!L259+'DOE25'!L260+'DOE25'!L340+'DOE25'!L341</f>
        <v>766951.1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162630</v>
      </c>
      <c r="D29" s="20">
        <f>'DOE25'!L357+'DOE25'!L358+'DOE25'!L359-'DOE25'!I366-F29-G29</f>
        <v>162630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317255.31</v>
      </c>
      <c r="D31" s="20">
        <f>'DOE25'!L289+'DOE25'!L308+'DOE25'!L327+'DOE25'!L332+'DOE25'!L333+'DOE25'!L334-F31-G31</f>
        <v>288888.40000000002</v>
      </c>
      <c r="E31" s="243"/>
      <c r="F31" s="255">
        <f>'DOE25'!J289+'DOE25'!J308+'DOE25'!J327+'DOE25'!J332+'DOE25'!J333+'DOE25'!J334</f>
        <v>20288.669999999998</v>
      </c>
      <c r="G31" s="53">
        <f>'DOE25'!K289+'DOE25'!K308+'DOE25'!K327+'DOE25'!K332+'DOE25'!K333+'DOE25'!K334</f>
        <v>8078.24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7340373.3100000015</v>
      </c>
      <c r="E33" s="246">
        <f>SUM(E5:E31)</f>
        <v>210954.75000000003</v>
      </c>
      <c r="F33" s="246">
        <f>SUM(F5:F31)</f>
        <v>104662.06999999999</v>
      </c>
      <c r="G33" s="246">
        <f>SUM(G5:G31)</f>
        <v>17545.14</v>
      </c>
      <c r="H33" s="246">
        <f>SUM(H5:H31)</f>
        <v>766951.1</v>
      </c>
    </row>
    <row r="35" spans="2:8" ht="12" thickBot="1" x14ac:dyDescent="0.25">
      <c r="B35" s="253" t="s">
        <v>847</v>
      </c>
      <c r="D35" s="254">
        <f>E33</f>
        <v>210954.75000000003</v>
      </c>
      <c r="E35" s="249"/>
    </row>
    <row r="36" spans="2:8" ht="12" thickTop="1" x14ac:dyDescent="0.2">
      <c r="B36" t="s">
        <v>815</v>
      </c>
      <c r="D36" s="20">
        <f>D33</f>
        <v>7340373.3100000015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PLYMOUTH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37552.730000000003</v>
      </c>
      <c r="D9" s="95">
        <f>'DOE25'!G10</f>
        <v>-17671.66</v>
      </c>
      <c r="E9" s="95">
        <f>'DOE25'!H10</f>
        <v>3231.74</v>
      </c>
      <c r="F9" s="95">
        <f>'DOE25'!I10</f>
        <v>0</v>
      </c>
      <c r="G9" s="95">
        <f>'DOE25'!J10</f>
        <v>61666.29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112987.1</v>
      </c>
      <c r="D12" s="95">
        <f>'DOE25'!G13</f>
        <v>18770.39</v>
      </c>
      <c r="E12" s="95">
        <f>'DOE25'!H13</f>
        <v>22701.97</v>
      </c>
      <c r="F12" s="95">
        <f>'DOE25'!I13</f>
        <v>0</v>
      </c>
      <c r="G12" s="95">
        <f>'DOE25'!J13</f>
        <v>362.62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11780.96</v>
      </c>
      <c r="D13" s="95">
        <f>'DOE25'!G14</f>
        <v>2451.5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124873.45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287194.23999999999</v>
      </c>
      <c r="D18" s="41">
        <f>SUM(D8:D17)</f>
        <v>3550.2299999999996</v>
      </c>
      <c r="E18" s="41">
        <f>SUM(E8:E17)</f>
        <v>25933.71</v>
      </c>
      <c r="F18" s="41">
        <f>SUM(F8:F17)</f>
        <v>0</v>
      </c>
      <c r="G18" s="41">
        <f>SUM(G8:G17)</f>
        <v>62028.91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102833</v>
      </c>
      <c r="D23" s="95">
        <f>'DOE25'!G24</f>
        <v>0</v>
      </c>
      <c r="E23" s="95">
        <f>'DOE25'!H24</f>
        <v>8584.6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17578.71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102833</v>
      </c>
      <c r="D31" s="41">
        <f>SUM(D21:D30)</f>
        <v>0</v>
      </c>
      <c r="E31" s="41">
        <f>SUM(E21:E30)</f>
        <v>26163.309999999998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20931.8</v>
      </c>
      <c r="D43" s="95">
        <f>'DOE25'!G44</f>
        <v>0</v>
      </c>
      <c r="E43" s="95">
        <f>'DOE25'!H44</f>
        <v>14456.18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3550.23</v>
      </c>
      <c r="E46" s="95">
        <f>'DOE25'!H47</f>
        <v>-14685.78</v>
      </c>
      <c r="F46" s="95">
        <f>'DOE25'!I47</f>
        <v>0</v>
      </c>
      <c r="G46" s="95">
        <f>'DOE25'!J47</f>
        <v>62028.91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163429.44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184361.24</v>
      </c>
      <c r="D49" s="41">
        <f>SUM(D34:D48)</f>
        <v>3550.23</v>
      </c>
      <c r="E49" s="41">
        <f>SUM(E34:E48)</f>
        <v>-229.60000000000036</v>
      </c>
      <c r="F49" s="41">
        <f>SUM(F34:F48)</f>
        <v>0</v>
      </c>
      <c r="G49" s="41">
        <f>SUM(G34:G48)</f>
        <v>62028.91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287194.23999999999</v>
      </c>
      <c r="D50" s="41">
        <f>D49+D31</f>
        <v>3550.23</v>
      </c>
      <c r="E50" s="41">
        <f>E49+E31</f>
        <v>25933.71</v>
      </c>
      <c r="F50" s="41">
        <f>F49+F31</f>
        <v>0</v>
      </c>
      <c r="G50" s="41">
        <f>G49+G31</f>
        <v>62028.91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3456687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721566.90999999992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22.82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20.57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71146.679999999993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203851.49</v>
      </c>
      <c r="D60" s="95">
        <f>SUM('DOE25'!G97:G109)</f>
        <v>0</v>
      </c>
      <c r="E60" s="95">
        <f>SUM('DOE25'!H97:H109)</f>
        <v>2900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925441.21999999986</v>
      </c>
      <c r="D61" s="130">
        <f>SUM(D56:D60)</f>
        <v>71146.679999999993</v>
      </c>
      <c r="E61" s="130">
        <f>SUM(E56:E60)</f>
        <v>2900</v>
      </c>
      <c r="F61" s="130">
        <f>SUM(F56:F60)</f>
        <v>0</v>
      </c>
      <c r="G61" s="130">
        <f>SUM(G56:G60)</f>
        <v>20.57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4382128.22</v>
      </c>
      <c r="D62" s="22">
        <f>D55+D61</f>
        <v>71146.679999999993</v>
      </c>
      <c r="E62" s="22">
        <f>E55+E61</f>
        <v>2900</v>
      </c>
      <c r="F62" s="22">
        <f>F55+F61</f>
        <v>0</v>
      </c>
      <c r="G62" s="22">
        <f>G55+G61</f>
        <v>20.57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2094236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644027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2738263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420000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142606.22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1752.95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562606.22</v>
      </c>
      <c r="D77" s="130">
        <f>SUM(D71:D76)</f>
        <v>1752.95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3300869.2199999997</v>
      </c>
      <c r="D80" s="130">
        <f>SUM(D78:D79)+D77+D69</f>
        <v>1752.95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149994.28</v>
      </c>
      <c r="D87" s="95">
        <f>SUM('DOE25'!G152:G160)</f>
        <v>93280.6</v>
      </c>
      <c r="E87" s="95">
        <f>SUM('DOE25'!H152:H160)</f>
        <v>253701.51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26037.919999999998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2509.4899999999998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152503.76999999999</v>
      </c>
      <c r="D90" s="131">
        <f>SUM(D84:D89)</f>
        <v>93280.6</v>
      </c>
      <c r="E90" s="131">
        <f>SUM(E84:E89)</f>
        <v>279739.43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60755.69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24637.38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85393.07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7920894.2799999993</v>
      </c>
      <c r="D103" s="86">
        <f>D62+D80+D90+D102</f>
        <v>166180.22999999998</v>
      </c>
      <c r="E103" s="86">
        <f>E62+E80+E90+E102</f>
        <v>282639.43</v>
      </c>
      <c r="F103" s="86">
        <f>F62+F80+F90+F102</f>
        <v>0</v>
      </c>
      <c r="G103" s="86">
        <f>G62+G80+G102</f>
        <v>20.57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2940574.74</v>
      </c>
      <c r="D108" s="24" t="s">
        <v>289</v>
      </c>
      <c r="E108" s="95">
        <f>('DOE25'!L275)+('DOE25'!L294)+('DOE25'!L313)</f>
        <v>56647.56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1712103.03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138202.51999999999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66268.289999999994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4857148.58</v>
      </c>
      <c r="D114" s="86">
        <f>SUM(D108:D113)</f>
        <v>0</v>
      </c>
      <c r="E114" s="86">
        <f>SUM(E108:E113)</f>
        <v>56647.56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642700.32999999996</v>
      </c>
      <c r="D117" s="24" t="s">
        <v>289</v>
      </c>
      <c r="E117" s="95">
        <f>+('DOE25'!L280)+('DOE25'!L299)+('DOE25'!L318)</f>
        <v>251271.75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144079.24000000002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319802.29000000004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390852.16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285</v>
      </c>
      <c r="D121" s="24" t="s">
        <v>289</v>
      </c>
      <c r="E121" s="95">
        <f>+('DOE25'!L284)+('DOE25'!L303)+('DOE25'!L322)</f>
        <v>8078.24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585267.79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181655.33</v>
      </c>
      <c r="D123" s="24" t="s">
        <v>289</v>
      </c>
      <c r="E123" s="95">
        <f>+('DOE25'!L286)+('DOE25'!L305)+('DOE25'!L324)</f>
        <v>1257.76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162630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2264642.1399999997</v>
      </c>
      <c r="D127" s="86">
        <f>SUM(D117:D126)</f>
        <v>162630</v>
      </c>
      <c r="E127" s="86">
        <f>SUM(E117:E126)</f>
        <v>260607.75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65859.240000000005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700000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66951.100000000006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24637.38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20.57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-20.57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832810.34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24637.38</v>
      </c>
    </row>
    <row r="144" spans="1:7" ht="12.75" thickTop="1" thickBot="1" x14ac:dyDescent="0.25">
      <c r="A144" s="33" t="s">
        <v>244</v>
      </c>
      <c r="C144" s="86">
        <f>(C114+C127+C143)</f>
        <v>7954601.0599999996</v>
      </c>
      <c r="D144" s="86">
        <f>(D114+D127+D143)</f>
        <v>162630</v>
      </c>
      <c r="E144" s="86">
        <f>(E114+E127+E143)</f>
        <v>317255.31</v>
      </c>
      <c r="F144" s="86">
        <f>(F114+F127+F143)</f>
        <v>0</v>
      </c>
      <c r="G144" s="86">
        <f>(G114+G127+G143)</f>
        <v>24637.38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07/10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3494639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2.69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2800000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2800000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700000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700000</v>
      </c>
    </row>
    <row r="158" spans="1:9" x14ac:dyDescent="0.2">
      <c r="A158" s="22" t="s">
        <v>35</v>
      </c>
      <c r="B158" s="137">
        <f>'DOE25'!F497</f>
        <v>2100000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2100000</v>
      </c>
    </row>
    <row r="159" spans="1:9" x14ac:dyDescent="0.2">
      <c r="A159" s="22" t="s">
        <v>36</v>
      </c>
      <c r="B159" s="137">
        <f>'DOE25'!F498</f>
        <v>85675.9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85675.9</v>
      </c>
    </row>
    <row r="160" spans="1:9" x14ac:dyDescent="0.2">
      <c r="A160" s="22" t="s">
        <v>37</v>
      </c>
      <c r="B160" s="137">
        <f>'DOE25'!F499</f>
        <v>2185675.9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2185675.9</v>
      </c>
    </row>
    <row r="161" spans="1:7" x14ac:dyDescent="0.2">
      <c r="A161" s="22" t="s">
        <v>38</v>
      </c>
      <c r="B161" s="137">
        <f>'DOE25'!F500</f>
        <v>700000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700000</v>
      </c>
    </row>
    <row r="162" spans="1:7" x14ac:dyDescent="0.2">
      <c r="A162" s="22" t="s">
        <v>39</v>
      </c>
      <c r="B162" s="137">
        <f>'DOE25'!F501</f>
        <v>47650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47650</v>
      </c>
    </row>
    <row r="163" spans="1:7" x14ac:dyDescent="0.2">
      <c r="A163" s="22" t="s">
        <v>246</v>
      </c>
      <c r="B163" s="137">
        <f>'DOE25'!F502</f>
        <v>747650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747650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PLYMOUTH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18085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18085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2997222</v>
      </c>
      <c r="D10" s="182">
        <f>ROUND((C10/$C$28)*100,1)</f>
        <v>39.5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1712103</v>
      </c>
      <c r="D11" s="182">
        <f>ROUND((C11/$C$28)*100,1)</f>
        <v>22.5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138203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893972</v>
      </c>
      <c r="D15" s="182">
        <f t="shared" ref="D15:D27" si="0">ROUND((C15/$C$28)*100,1)</f>
        <v>11.8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144079</v>
      </c>
      <c r="D16" s="182">
        <f t="shared" si="0"/>
        <v>1.9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319802</v>
      </c>
      <c r="D17" s="182">
        <f t="shared" si="0"/>
        <v>4.2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390852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8363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585268</v>
      </c>
      <c r="D20" s="182">
        <f t="shared" si="0"/>
        <v>7.7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182913</v>
      </c>
      <c r="D21" s="182">
        <f t="shared" si="0"/>
        <v>2.4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66268</v>
      </c>
      <c r="D24" s="182">
        <f t="shared" si="0"/>
        <v>0.9</v>
      </c>
    </row>
    <row r="25" spans="1:4" x14ac:dyDescent="0.2">
      <c r="A25">
        <v>5120</v>
      </c>
      <c r="B25" t="s">
        <v>720</v>
      </c>
      <c r="C25" s="179">
        <f>ROUND('DOE25'!L260+'DOE25'!L341,0)</f>
        <v>66951</v>
      </c>
      <c r="D25" s="182">
        <f t="shared" si="0"/>
        <v>0.9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91483.32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7597479.3200000003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65859</v>
      </c>
    </row>
    <row r="30" spans="1:4" x14ac:dyDescent="0.2">
      <c r="B30" s="187" t="s">
        <v>729</v>
      </c>
      <c r="C30" s="180">
        <f>SUM(C28:C29)</f>
        <v>7663338.3200000003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700000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3456687</v>
      </c>
      <c r="D35" s="182">
        <f t="shared" ref="D35:D40" si="1">ROUND((C35/$C$41)*100,1)</f>
        <v>42.1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928361.79</v>
      </c>
      <c r="D36" s="182">
        <f t="shared" si="1"/>
        <v>11.3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2738263</v>
      </c>
      <c r="D37" s="182">
        <f t="shared" si="1"/>
        <v>33.299999999999997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564359</v>
      </c>
      <c r="D38" s="182">
        <f t="shared" si="1"/>
        <v>6.9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525524</v>
      </c>
      <c r="D39" s="182">
        <f t="shared" si="1"/>
        <v>6.4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8213194.79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60756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PLYMOUTH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2013-09-05T15:16:55Z</cp:lastPrinted>
  <dcterms:created xsi:type="dcterms:W3CDTF">1997-12-04T19:04:30Z</dcterms:created>
  <dcterms:modified xsi:type="dcterms:W3CDTF">2013-11-14T17:15:41Z</dcterms:modified>
</cp:coreProperties>
</file>