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C108" i="2" s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2" i="10"/>
  <c r="C13" i="10"/>
  <c r="C18" i="10"/>
  <c r="C20" i="10"/>
  <c r="C21" i="10"/>
  <c r="L249" i="1"/>
  <c r="L331" i="1"/>
  <c r="C23" i="10" s="1"/>
  <c r="L253" i="1"/>
  <c r="C25" i="10"/>
  <c r="L267" i="1"/>
  <c r="L268" i="1"/>
  <c r="L348" i="1"/>
  <c r="L349" i="1"/>
  <c r="I664" i="1"/>
  <c r="I669" i="1"/>
  <c r="H660" i="1"/>
  <c r="F661" i="1"/>
  <c r="G661" i="1"/>
  <c r="H661" i="1"/>
  <c r="I661" i="1" s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08" i="2"/>
  <c r="C109" i="2"/>
  <c r="E109" i="2"/>
  <c r="C110" i="2"/>
  <c r="E110" i="2"/>
  <c r="C111" i="2"/>
  <c r="E111" i="2"/>
  <c r="C112" i="2"/>
  <c r="E112" i="2"/>
  <c r="C113" i="2"/>
  <c r="E113" i="2"/>
  <c r="D114" i="2"/>
  <c r="F114" i="2"/>
  <c r="G114" i="2"/>
  <c r="C117" i="2"/>
  <c r="E117" i="2"/>
  <c r="C118" i="2"/>
  <c r="E118" i="2"/>
  <c r="C119" i="2"/>
  <c r="E119" i="2"/>
  <c r="C120" i="2"/>
  <c r="E120" i="2"/>
  <c r="E121" i="2"/>
  <c r="C122" i="2"/>
  <c r="E122" i="2"/>
  <c r="C123" i="2"/>
  <c r="E123" i="2"/>
  <c r="C124" i="2"/>
  <c r="E124" i="2"/>
  <c r="F127" i="2"/>
  <c r="G127" i="2"/>
  <c r="C129" i="2"/>
  <c r="E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G617" i="1" s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L336" i="1" s="1"/>
  <c r="H336" i="1"/>
  <c r="I336" i="1"/>
  <c r="J336" i="1"/>
  <c r="J337" i="1" s="1"/>
  <c r="J351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H633" i="1" s="1"/>
  <c r="J633" i="1" s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8" i="1"/>
  <c r="G619" i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H646" i="1"/>
  <c r="G648" i="1"/>
  <c r="J648" i="1" s="1"/>
  <c r="G649" i="1"/>
  <c r="G650" i="1"/>
  <c r="G651" i="1"/>
  <c r="H651" i="1"/>
  <c r="G652" i="1"/>
  <c r="H652" i="1"/>
  <c r="G653" i="1"/>
  <c r="H653" i="1"/>
  <c r="H654" i="1"/>
  <c r="F191" i="1"/>
  <c r="L255" i="1"/>
  <c r="I256" i="1"/>
  <c r="I270" i="1" s="1"/>
  <c r="G163" i="2"/>
  <c r="G159" i="2"/>
  <c r="C18" i="2"/>
  <c r="F31" i="2"/>
  <c r="C26" i="10"/>
  <c r="L327" i="1"/>
  <c r="L350" i="1"/>
  <c r="L289" i="1"/>
  <c r="A31" i="12"/>
  <c r="C69" i="2"/>
  <c r="A40" i="12"/>
  <c r="D12" i="13"/>
  <c r="C12" i="13" s="1"/>
  <c r="G161" i="2"/>
  <c r="D61" i="2"/>
  <c r="D62" i="2" s="1"/>
  <c r="E49" i="2"/>
  <c r="D18" i="13"/>
  <c r="C18" i="13" s="1"/>
  <c r="D15" i="13"/>
  <c r="C15" i="13" s="1"/>
  <c r="D7" i="13"/>
  <c r="C7" i="13" s="1"/>
  <c r="F102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C77" i="2"/>
  <c r="C80" i="2" s="1"/>
  <c r="D49" i="2"/>
  <c r="G156" i="2"/>
  <c r="F49" i="2"/>
  <c r="F50" i="2" s="1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19" i="13"/>
  <c r="C19" i="13" s="1"/>
  <c r="D14" i="13"/>
  <c r="C14" i="13" s="1"/>
  <c r="J616" i="1"/>
  <c r="E77" i="2"/>
  <c r="E80" i="2" s="1"/>
  <c r="L426" i="1"/>
  <c r="J256" i="1"/>
  <c r="J270" i="1" s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H168" i="1"/>
  <c r="G551" i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J624" i="1" s="1"/>
  <c r="G475" i="1"/>
  <c r="H622" i="1" s="1"/>
  <c r="J622" i="1" s="1"/>
  <c r="G337" i="1"/>
  <c r="G351" i="1" s="1"/>
  <c r="F168" i="1"/>
  <c r="J139" i="1"/>
  <c r="F570" i="1"/>
  <c r="H256" i="1"/>
  <c r="H270" i="1" s="1"/>
  <c r="I551" i="1"/>
  <c r="K548" i="1"/>
  <c r="K549" i="1"/>
  <c r="G22" i="2"/>
  <c r="K597" i="1"/>
  <c r="G646" i="1" s="1"/>
  <c r="J646" i="1" s="1"/>
  <c r="K544" i="1"/>
  <c r="J551" i="1"/>
  <c r="H551" i="1"/>
  <c r="C29" i="10"/>
  <c r="H139" i="1"/>
  <c r="L400" i="1"/>
  <c r="C138" i="2" s="1"/>
  <c r="L392" i="1"/>
  <c r="A13" i="12"/>
  <c r="F22" i="13"/>
  <c r="H25" i="13"/>
  <c r="C25" i="13" s="1"/>
  <c r="J650" i="1"/>
  <c r="J639" i="1"/>
  <c r="H570" i="1"/>
  <c r="L559" i="1"/>
  <c r="J544" i="1"/>
  <c r="H337" i="1"/>
  <c r="H351" i="1" s="1"/>
  <c r="F337" i="1"/>
  <c r="F351" i="1" s="1"/>
  <c r="G191" i="1"/>
  <c r="H191" i="1"/>
  <c r="E127" i="2"/>
  <c r="E144" i="2" s="1"/>
  <c r="F551" i="1"/>
  <c r="C35" i="10"/>
  <c r="L308" i="1"/>
  <c r="D5" i="13"/>
  <c r="C5" i="13" s="1"/>
  <c r="E16" i="13"/>
  <c r="C16" i="13" s="1"/>
  <c r="C49" i="2"/>
  <c r="C50" i="2" s="1"/>
  <c r="J654" i="1"/>
  <c r="J644" i="1"/>
  <c r="L569" i="1"/>
  <c r="I570" i="1"/>
  <c r="I544" i="1"/>
  <c r="J635" i="1"/>
  <c r="G36" i="2"/>
  <c r="L564" i="1"/>
  <c r="G544" i="1"/>
  <c r="L544" i="1"/>
  <c r="H544" i="1"/>
  <c r="K550" i="1"/>
  <c r="K551" i="1" s="1"/>
  <c r="C22" i="13"/>
  <c r="C137" i="2"/>
  <c r="H33" i="13"/>
  <c r="C19" i="10" l="1"/>
  <c r="C11" i="10"/>
  <c r="K256" i="1"/>
  <c r="K270" i="1" s="1"/>
  <c r="C15" i="10"/>
  <c r="E13" i="13"/>
  <c r="C13" i="13" s="1"/>
  <c r="C121" i="2"/>
  <c r="C127" i="2" s="1"/>
  <c r="C114" i="2"/>
  <c r="C10" i="10"/>
  <c r="G256" i="1"/>
  <c r="G270" i="1" s="1"/>
  <c r="L228" i="1"/>
  <c r="G659" i="1" s="1"/>
  <c r="L246" i="1"/>
  <c r="H659" i="1" s="1"/>
  <c r="H663" i="1" s="1"/>
  <c r="C16" i="10"/>
  <c r="C17" i="10"/>
  <c r="L210" i="1"/>
  <c r="F660" i="1"/>
  <c r="D29" i="13"/>
  <c r="C29" i="13" s="1"/>
  <c r="D126" i="2"/>
  <c r="D127" i="2" s="1"/>
  <c r="D144" i="2" s="1"/>
  <c r="G660" i="1"/>
  <c r="L361" i="1"/>
  <c r="G634" i="1" s="1"/>
  <c r="J634" i="1" s="1"/>
  <c r="D18" i="2"/>
  <c r="L337" i="1"/>
  <c r="L351" i="1" s="1"/>
  <c r="G632" i="1" s="1"/>
  <c r="J632" i="1" s="1"/>
  <c r="C24" i="10"/>
  <c r="G31" i="13"/>
  <c r="G33" i="13" s="1"/>
  <c r="I337" i="1"/>
  <c r="I351" i="1" s="1"/>
  <c r="J649" i="1"/>
  <c r="L406" i="1"/>
  <c r="C139" i="2" s="1"/>
  <c r="C140" i="2" s="1"/>
  <c r="C143" i="2" s="1"/>
  <c r="L570" i="1"/>
  <c r="I191" i="1"/>
  <c r="E90" i="2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J192" i="1"/>
  <c r="G645" i="1" s="1"/>
  <c r="F103" i="2"/>
  <c r="H192" i="1"/>
  <c r="G628" i="1" s="1"/>
  <c r="J628" i="1" s="1"/>
  <c r="G168" i="1"/>
  <c r="C39" i="10" s="1"/>
  <c r="G139" i="1"/>
  <c r="F139" i="1"/>
  <c r="F192" i="1" s="1"/>
  <c r="G626" i="1" s="1"/>
  <c r="J626" i="1" s="1"/>
  <c r="C36" i="10"/>
  <c r="G62" i="2"/>
  <c r="G103" i="2" s="1"/>
  <c r="J617" i="1"/>
  <c r="G42" i="2"/>
  <c r="J50" i="1"/>
  <c r="G16" i="2"/>
  <c r="J19" i="1"/>
  <c r="G620" i="1" s="1"/>
  <c r="F33" i="13"/>
  <c r="D31" i="13"/>
  <c r="C31" i="13" s="1"/>
  <c r="G18" i="2"/>
  <c r="F544" i="1"/>
  <c r="H433" i="1"/>
  <c r="J619" i="1"/>
  <c r="J618" i="1"/>
  <c r="D102" i="2"/>
  <c r="D103" i="2" s="1"/>
  <c r="I139" i="1"/>
  <c r="I192" i="1" s="1"/>
  <c r="G629" i="1" s="1"/>
  <c r="J629" i="1" s="1"/>
  <c r="A22" i="12"/>
  <c r="H645" i="1"/>
  <c r="G49" i="2"/>
  <c r="G50" i="2" s="1"/>
  <c r="H647" i="1"/>
  <c r="J647" i="1" s="1"/>
  <c r="C103" i="2"/>
  <c r="J651" i="1"/>
  <c r="J641" i="1"/>
  <c r="G570" i="1"/>
  <c r="I433" i="1"/>
  <c r="G433" i="1"/>
  <c r="E103" i="2"/>
  <c r="I662" i="1"/>
  <c r="E33" i="13" l="1"/>
  <c r="D35" i="13" s="1"/>
  <c r="C144" i="2"/>
  <c r="H671" i="1"/>
  <c r="C6" i="10" s="1"/>
  <c r="H666" i="1"/>
  <c r="L256" i="1"/>
  <c r="L270" i="1" s="1"/>
  <c r="G631" i="1" s="1"/>
  <c r="J631" i="1" s="1"/>
  <c r="F659" i="1"/>
  <c r="F663" i="1" s="1"/>
  <c r="I660" i="1"/>
  <c r="G663" i="1"/>
  <c r="G666" i="1" s="1"/>
  <c r="C27" i="10"/>
  <c r="C28" i="10" s="1"/>
  <c r="D24" i="10" s="1"/>
  <c r="G630" i="1"/>
  <c r="J630" i="1" s="1"/>
  <c r="D33" i="13"/>
  <c r="D36" i="13" s="1"/>
  <c r="J645" i="1"/>
  <c r="G192" i="1"/>
  <c r="G627" i="1" s="1"/>
  <c r="J627" i="1" s="1"/>
  <c r="G625" i="1"/>
  <c r="J625" i="1" s="1"/>
  <c r="J51" i="1"/>
  <c r="H620" i="1" s="1"/>
  <c r="J620" i="1" s="1"/>
  <c r="C38" i="10"/>
  <c r="F671" i="1" l="1"/>
  <c r="C4" i="10" s="1"/>
  <c r="F666" i="1"/>
  <c r="I659" i="1"/>
  <c r="I663" i="1" s="1"/>
  <c r="D26" i="10"/>
  <c r="D16" i="10"/>
  <c r="D10" i="10"/>
  <c r="C30" i="10"/>
  <c r="D23" i="10"/>
  <c r="G671" i="1"/>
  <c r="C5" i="10" s="1"/>
  <c r="D13" i="10"/>
  <c r="D11" i="10"/>
  <c r="D21" i="10"/>
  <c r="D22" i="10"/>
  <c r="D27" i="10"/>
  <c r="D20" i="10"/>
  <c r="D18" i="10"/>
  <c r="D15" i="10"/>
  <c r="D17" i="10"/>
  <c r="D25" i="10"/>
  <c r="D12" i="10"/>
  <c r="D19" i="10"/>
  <c r="H655" i="1"/>
  <c r="C41" i="10"/>
  <c r="D38" i="10" s="1"/>
  <c r="I671" i="1" l="1"/>
  <c r="C7" i="10" s="1"/>
  <c r="I666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<sst xmlns="http://schemas.openxmlformats.org/spreadsheetml/2006/main" count="3946" uniqueCount="911">
  <si>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</si>
  <si>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</si>
  <si>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</si>
  <si>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</si>
  <si>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</si>
  <si>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</si>
  <si>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</si>
  <si>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</si>
  <si>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</si>
  <si>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</si>
  <si>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</si>
  <si>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</si>
  <si>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</si>
  <si>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</si>
  <si>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</si>
  <si>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</si>
  <si>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</si>
  <si>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</si>
  <si>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</si>
  <si>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</si>
  <si>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</si>
  <si>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</si>
  <si>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</si>
  <si>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</si>
  <si>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</si>
  <si>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</si>
  <si>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</si>
  <si>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</si>
  <si>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</si>
  <si>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</si>
  <si>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</si>
  <si>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</si>
  <si>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</si>
  <si>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</si>
  <si>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</si>
  <si>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</si>
  <si>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</si>
  <si>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</si>
  <si>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</si>
  <si>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</si>
  <si>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</si>
  <si>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</si>
  <si>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</si>
  <si>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</si>
  <si>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</si>
  <si>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</si>
  <si>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</si>
  <si>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</si>
  <si>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</si>
  <si>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</si>
  <si>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</si>
  <si>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</si>
  <si>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</si>
  <si>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</si>
  <si>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</si>
  <si>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</si>
  <si>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</si>
  <si>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</si>
  <si>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</si>
  <si>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</si>
  <si>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</si>
  <si>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</si>
  <si>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</si>
  <si>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</si>
  <si>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</si>
  <si>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</si>
  <si>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</si>
  <si>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</si>
  <si>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</si>
  <si>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</si>
  <si>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</si>
  <si>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</si>
  <si>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</si>
  <si>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</si>
  <si>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</si>
  <si>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</si>
  <si>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</si>
  <si>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</si>
  <si>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</si>
  <si>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</si>
  <si>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</si>
  <si>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</si>
  <si>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</si>
  <si>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</si>
  <si>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</si>
  <si>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</si>
  <si>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</si>
  <si>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</si>
  <si>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</si>
  <si>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</si>
  <si>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</si>
  <si>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</si>
  <si>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</si>
  <si>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</si>
  <si>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</si>
  <si>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</si>
  <si>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</si>
  <si>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</si>
  <si>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</si>
  <si>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</si>
  <si>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</si>
  <si>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</si>
  <si>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</si>
  <si>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</si>
  <si>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</si>
  <si>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</si>
  <si>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</si>
  <si>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</si>
  <si>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</si>
  <si>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</si>
  <si>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</si>
  <si>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</si>
  <si>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</si>
  <si>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</si>
  <si>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</si>
  <si>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</si>
  <si>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</si>
  <si>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</si>
  <si>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</si>
  <si>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</si>
  <si>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</si>
  <si>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</si>
  <si>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</si>
  <si>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</si>
  <si>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</si>
  <si>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</si>
  <si>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</si>
  <si>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</si>
  <si>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</si>
  <si>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</si>
  <si>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</si>
  <si>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</si>
  <si>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</si>
  <si>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</si>
  <si>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</si>
  <si>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</si>
  <si>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</si>
  <si>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</si>
  <si>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</si>
  <si>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</si>
  <si>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</si>
  <si>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</si>
  <si>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</si>
  <si>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</si>
  <si>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</si>
  <si>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</si>
  <si>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</si>
  <si>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</si>
  <si>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</si>
  <si>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</si>
  <si>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</si>
  <si>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</si>
  <si>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</si>
  <si>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</si>
  <si>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</si>
  <si>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</si>
  <si>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</si>
  <si>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</si>
  <si>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</si>
  <si>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</si>
  <si>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</si>
  <si>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</si>
  <si>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</si>
  <si>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</si>
  <si>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</si>
  <si>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</si>
  <si>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</si>
  <si>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</si>
  <si>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</si>
  <si>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</si>
  <si>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</si>
  <si>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</si>
  <si>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</si>
  <si>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</si>
  <si>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</si>
  <si>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</si>
  <si>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</si>
  <si>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</si>
  <si>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</si>
  <si>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</si>
  <si>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</si>
  <si>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</si>
  <si>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</si>
  <si>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</si>
  <si>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</si>
  <si>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</si>
  <si>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</si>
  <si>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</si>
  <si>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</si>
  <si>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</si>
  <si>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</si>
  <si>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</si>
  <si>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</si>
  <si>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</si>
  <si>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</si>
  <si>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</si>
  <si>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</si>
  <si>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</si>
  <si>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</si>
  <si>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</si>
  <si>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</si>
  <si>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</si>
  <si>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</si>
  <si>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</si>
  <si>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</si>
  <si>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</si>
  <si>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</si>
  <si>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</si>
  <si>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</si>
  <si>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</si>
  <si>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</si>
  <si>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</si>
  <si>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</si>
  <si>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</si>
  <si>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</si>
  <si>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</si>
  <si>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</si>
  <si>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</si>
  <si>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</si>
  <si>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</si>
  <si>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</si>
  <si>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</si>
  <si>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</si>
  <si>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</si>
  <si>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</si>
  <si>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</si>
  <si>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</si>
  <si>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</si>
  <si>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</si>
  <si>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</si>
  <si>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</si>
  <si>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</si>
  <si>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</si>
  <si>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</si>
  <si>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</si>
  <si>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</si>
  <si>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</si>
  <si>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</si>
  <si>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</si>
  <si>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</si>
  <si>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</si>
  <si>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</si>
  <si>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</si>
  <si>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</si>
  <si>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</si>
  <si>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</si>
  <si>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</si>
  <si>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</si>
  <si>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</si>
  <si>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</si>
  <si>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</si>
  <si>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</si>
  <si>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</si>
  <si>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</si>
  <si>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</si>
  <si>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</si>
  <si>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</si>
  <si>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</si>
  <si>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</si>
  <si>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</si>
  <si>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</si>
  <si>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</si>
  <si>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</si>
  <si>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</si>
  <si>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</si>
  <si>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</si>
  <si>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</si>
  <si>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</si>
  <si>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</si>
  <si>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</si>
  <si>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</si>
  <si>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</si>
  <si>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</si>
  <si>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</si>
  <si>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</si>
  <si>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</si>
  <si>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</si>
  <si>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</si>
  <si>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</si>
  <si>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</si>
  <si>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</si>
  <si>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</si>
  <si>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</si>
  <si>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</si>
  <si>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</si>
  <si>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</si>
  <si>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</si>
  <si>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</si>
  <si>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</si>
  <si>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</si>
  <si>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</si>
  <si>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</si>
  <si>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</si>
  <si>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</si>
  <si>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</si>
  <si>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</si>
  <si>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</si>
  <si>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</si>
  <si>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</si>
  <si>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</si>
  <si>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</si>
  <si>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</si>
  <si>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</si>
  <si>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</si>
  <si>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</si>
  <si>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</si>
  <si>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</si>
  <si>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</si>
  <si>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</si>
  <si>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</si>
  <si>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</si>
  <si>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</si>
  <si>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</si>
  <si>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</si>
  <si>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</si>
  <si>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</si>
  <si>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</si>
  <si>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</si>
  <si>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</si>
  <si>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</si>
  <si>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</si>
  <si>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</si>
  <si>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</si>
  <si>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</si>
  <si>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</si>
  <si>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</si>
  <si>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</si>
  <si>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</si>
  <si>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</si>
  <si>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</si>
  <si>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</si>
  <si>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</si>
  <si>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</si>
  <si>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</si>
  <si>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</si>
  <si>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</si>
  <si>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</si>
  <si>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</si>
  <si>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</si>
  <si>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</si>
  <si>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</si>
  <si>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</si>
  <si>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</si>
  <si>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</si>
  <si>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</si>
  <si>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</si>
  <si>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</si>
  <si>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</si>
  <si>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</si>
  <si>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</si>
  <si>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</si>
  <si>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</si>
  <si>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</si>
  <si>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</si>
  <si>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</si>
  <si>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</si>
  <si>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</si>
  <si>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</si>
  <si>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</si>
  <si>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</si>
  <si>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</si>
  <si>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</si>
  <si>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</si>
  <si>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</si>
  <si>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</si>
  <si>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</si>
  <si>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</si>
  <si>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</si>
  <si>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</si>
  <si>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</si>
  <si>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</si>
  <si>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</si>
  <si>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</si>
  <si>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</si>
  <si>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</si>
  <si>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</si>
  <si>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</si>
  <si>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</si>
  <si>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</si>
  <si>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</si>
  <si>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</si>
  <si>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</si>
  <si>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</si>
  <si>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</si>
  <si>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</si>
  <si>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</si>
  <si>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</si>
  <si>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</si>
  <si>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</si>
  <si>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</si>
  <si>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</si>
  <si>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</si>
  <si>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</si>
  <si>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</si>
  <si>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</si>
  <si>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</si>
  <si>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</si>
  <si>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</si>
  <si>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</si>
  <si>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</si>
  <si>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</si>
  <si>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</si>
  <si>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</si>
  <si>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</si>
  <si>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</si>
  <si>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</si>
  <si>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</si>
  <si>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</si>
  <si>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</si>
  <si>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</si>
  <si>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</si>
  <si>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</si>
  <si>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</si>
  <si>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</si>
  <si>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</si>
  <si>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</si>
  <si>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</si>
  <si>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</si>
  <si>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</si>
  <si>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</si>
  <si>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</si>
  <si>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</si>
  <si>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</si>
  <si>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</si>
  <si>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</si>
  <si>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</si>
  <si>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</si>
  <si>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</si>
  <si>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</si>
  <si>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</si>
  <si>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</si>
  <si>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</si>
  <si>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</si>
  <si>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</si>
  <si>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</si>
  <si>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</si>
  <si>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</si>
  <si>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</si>
  <si>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</si>
  <si>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</si>
  <si>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</si>
  <si>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</si>
  <si>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</si>
  <si>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</si>
  <si>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</si>
  <si>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</si>
  <si>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</si>
  <si>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</si>
  <si>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</si>
  <si>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</si>
  <si>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</si>
  <si>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</si>
  <si>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</si>
  <si>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</si>
  <si>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</si>
  <si>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</si>
  <si>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</si>
  <si>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</si>
  <si>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</si>
  <si>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</si>
  <si>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</si>
  <si>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</si>
  <si>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</si>
  <si>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</si>
  <si>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</si>
  <si>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</si>
  <si>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</si>
  <si>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</si>
  <si>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</si>
  <si>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</si>
  <si>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</si>
  <si>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</si>
  <si>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</si>
  <si>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</si>
  <si>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</si>
  <si>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</si>
  <si>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</si>
  <si>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</si>
  <si>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</si>
  <si>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</si>
  <si>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</si>
  <si>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</si>
  <si>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</si>
  <si>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</si>
  <si>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</si>
  <si>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</si>
  <si>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</si>
  <si>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</si>
  <si>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</si>
  <si>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</si>
  <si>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</si>
  <si>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</si>
  <si>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</si>
  <si>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</si>
  <si>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</si>
  <si>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</si>
  <si>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</si>
  <si>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</si>
  <si>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</si>
  <si>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</si>
  <si>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</si>
  <si>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</si>
  <si>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</si>
  <si>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</si>
  <si>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</si>
  <si>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</si>
  <si>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</si>
  <si>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</si>
  <si>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</si>
  <si>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</si>
  <si>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</si>
  <si>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</si>
  <si>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</si>
  <si>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</si>
  <si>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</si>
  <si>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</si>
  <si>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</si>
  <si>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</si>
  <si>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</si>
  <si>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</si>
  <si>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</si>
  <si>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</si>
  <si>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</si>
  <si>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</si>
  <si>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</si>
  <si>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</si>
  <si>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</si>
  <si>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</si>
  <si>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</si>
  <si>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</si>
  <si>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</si>
  <si>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</si>
  <si>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</si>
  <si>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</si>
  <si>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</si>
  <si>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</si>
  <si>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</si>
  <si>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</si>
  <si>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</si>
  <si>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</si>
  <si>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</si>
  <si>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</si>
  <si>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</si>
  <si>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</si>
  <si>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</si>
  <si>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</si>
  <si>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</si>
  <si>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</si>
  <si>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</si>
  <si>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</si>
  <si>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</si>
  <si>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</si>
  <si>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</si>
  <si>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</si>
  <si>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</si>
  <si>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</si>
  <si>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</si>
  <si>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</si>
  <si>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</si>
  <si>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</si>
  <si>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</si>
  <si>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</si>
  <si>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</si>
  <si>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</si>
  <si>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</si>
  <si>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</si>
  <si>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</si>
  <si>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</si>
  <si>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</si>
  <si>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</si>
  <si>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</si>
  <si>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</si>
  <si>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</si>
  <si>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</si>
  <si>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</si>
  <si>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</si>
  <si>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</si>
  <si>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</si>
  <si>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</si>
  <si>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</si>
  <si>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</si>
  <si>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</si>
  <si>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</si>
  <si>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</si>
  <si>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</si>
  <si>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</si>
  <si>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</si>
  <si>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</si>
  <si>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</si>
  <si>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</si>
  <si>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</si>
  <si>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</si>
  <si>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</si>
  <si>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</si>
  <si>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</si>
  <si>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</si>
  <si>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</si>
  <si>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</si>
  <si>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</si>
  <si>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</si>
  <si>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</si>
  <si>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</si>
  <si>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</si>
  <si>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</si>
  <si>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</si>
  <si>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</si>
  <si>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</si>
  <si>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</si>
  <si>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</si>
  <si>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</si>
  <si>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</si>
  <si>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</si>
  <si>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</si>
  <si>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</si>
  <si>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</si>
  <si>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</si>
  <si>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</si>
  <si>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</si>
  <si>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</si>
  <si>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</si>
  <si>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</si>
  <si>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</si>
  <si>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</si>
  <si>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</si>
  <si>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</si>
  <si>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</si>
  <si>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</si>
  <si>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</si>
  <si>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</si>
  <si>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</si>
  <si>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</si>
  <si>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</si>
  <si>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</si>
  <si>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</si>
  <si>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</si>
  <si>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</si>
  <si>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</si>
  <si>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</si>
  <si>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</si>
  <si>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</si>
  <si>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</si>
  <si>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</si>
  <si>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</si>
  <si>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</si>
  <si>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</si>
  <si>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</si>
  <si>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</si>
  <si>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</si>
  <si>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</si>
  <si>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</si>
  <si>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</si>
  <si>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</si>
  <si>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</si>
  <si>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</si>
  <si>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</si>
  <si>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</si>
  <si>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</si>
  <si>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</si>
  <si>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</si>
  <si>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</si>
  <si>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</si>
  <si>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</si>
  <si>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</si>
  <si>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</si>
  <si>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</si>
  <si>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</si>
  <si>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</si>
  <si>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</si>
  <si>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</si>
  <si>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</si>
  <si>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</si>
  <si>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</si>
  <si>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</si>
  <si>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</si>
  <si>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</si>
  <si>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</si>
  <si>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</si>
  <si>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</si>
  <si>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</si>
  <si>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</si>
  <si>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</si>
  <si>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</si>
  <si>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</si>
  <si>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</si>
  <si>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</si>
  <si>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</si>
  <si>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</si>
  <si>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</si>
  <si>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</si>
  <si>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</si>
  <si>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</si>
  <si>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</si>
  <si>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</si>
  <si>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</si>
  <si>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</si>
  <si>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</si>
  <si>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</si>
  <si>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</si>
  <si>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</si>
  <si>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</si>
  <si>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</si>
  <si>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</si>
  <si>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</si>
  <si>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</si>
  <si>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</si>
  <si>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</si>
  <si>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</si>
  <si>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</si>
  <si>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</si>
  <si>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</si>
  <si>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</si>
  <si>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</si>
  <si>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</si>
  <si>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</si>
  <si>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</si>
  <si>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</si>
  <si>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</si>
  <si>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</si>
  <si>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</si>
  <si>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</si>
  <si>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</si>
  <si>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</si>
  <si>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</si>
  <si>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</si>
  <si>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</si>
  <si>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</si>
  <si>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</si>
  <si>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</si>
  <si>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</si>
  <si>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</si>
  <si>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</si>
  <si>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</si>
  <si>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</si>
  <si>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</si>
  <si>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</si>
  <si>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</si>
  <si>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</si>
  <si>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</si>
  <si>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</si>
  <si>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</si>
  <si>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</si>
  <si>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</si>
  <si>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</si>
  <si>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</si>
  <si>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</si>
  <si>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</si>
  <si>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</si>
  <si>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</si>
  <si>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</si>
  <si>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</si>
  <si>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</si>
  <si>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</si>
  <si>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</si>
  <si>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</si>
  <si>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</si>
  <si>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</si>
  <si>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</si>
  <si>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</si>
  <si>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</si>
  <si>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</si>
  <si>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</si>
  <si>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</si>
  <si>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</si>
  <si>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</si>
  <si>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</si>
  <si>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</si>
  <si>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</si>
  <si>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</si>
  <si>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</si>
  <si>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</si>
  <si>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</si>
  <si>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</si>
  <si>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</si>
  <si>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</si>
  <si>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</si>
  <si>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</si>
  <si>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</si>
  <si>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</si>
  <si>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</si>
  <si>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</si>
  <si>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</si>
  <si>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</si>
  <si>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</si>
  <si>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</si>
  <si>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</si>
  <si>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</si>
  <si>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</si>
  <si>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</si>
  <si>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</si>
  <si>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</si>
  <si>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</si>
  <si>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</si>
  <si>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</si>
  <si>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</si>
  <si>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</si>
  <si>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</si>
  <si>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</si>
  <si>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</si>
  <si>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</si>
  <si>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</si>
  <si>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</si>
  <si>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</si>
  <si>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</si>
  <si>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</si>
  <si>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</si>
  <si>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</si>
  <si>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</si>
  <si>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</si>
  <si>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</si>
  <si>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</si>
  <si>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</si>
  <si>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</si>
  <si>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</si>
  <si>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</si>
  <si>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</si>
  <si>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</si>
  <si>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</si>
  <si>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</si>
  <si>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</si>
  <si>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</si>
  <si>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</si>
  <si>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</si>
  <si>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</si>
  <si>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</si>
  <si>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</si>
  <si>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</si>
  <si>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</si>
  <si>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</si>
  <si>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</si>
  <si>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</si>
  <si>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</si>
  <si>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</si>
  <si>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</si>
  <si>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</si>
  <si>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</si>
  <si>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</si>
  <si>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</si>
  <si>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</si>
  <si>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</si>
  <si>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</si>
  <si>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</si>
  <si>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</si>
  <si>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</si>
  <si>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</si>
  <si>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</si>
  <si>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</si>
  <si>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</si>
  <si>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</si>
  <si>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</si>
  <si>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</si>
  <si>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</si>
  <si>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</si>
  <si>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</si>
  <si>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</si>
  <si>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</si>
  <si>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</si>
  <si>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</si>
  <si>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</si>
  <si>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</si>
  <si>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</si>
  <si>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</si>
  <si>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</si>
  <si>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</si>
  <si>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</si>
  <si>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</si>
  <si>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</si>
  <si>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</si>
  <si>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</si>
  <si>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</si>
  <si>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</si>
  <si>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</si>
  <si>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</si>
  <si>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</si>
  <si>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</si>
  <si>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</si>
  <si>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</si>
  <si>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</si>
  <si>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</si>
  <si>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</si>
  <si>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</si>
  <si>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</si>
  <si>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</si>
  <si>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</si>
  <si>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</si>
  <si>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</si>
  <si>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</si>
  <si>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</si>
  <si>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</si>
  <si>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</si>
  <si>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</si>
  <si>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</si>
  <si>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</si>
  <si>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</si>
  <si>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</si>
  <si>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</si>
  <si>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</si>
  <si>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</si>
  <si>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</si>
  <si>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</si>
  <si>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</si>
  <si>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</si>
  <si>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</si>
  <si>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</si>
  <si>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</si>
  <si>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</si>
  <si>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</si>
  <si>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</si>
  <si>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</si>
  <si>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</si>
  <si>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Scholarship Trust Funds</t>
  </si>
  <si>
    <t>Portsmouth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</si>
</sst>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627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910</v>
      </c>
      <c r="B2" s="21">
        <v>449</v>
      </c>
      <c r="C2" s="21">
        <v>449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/>
      <c r="G9" s="18">
        <v>1437.41</v>
      </c>
      <c r="H9" s="18"/>
      <c r="I9" s="18"/>
      <c r="J9" s="67">
        <f>SUM(I438)</f>
        <v>48030.86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>
        <v>21442.16</v>
      </c>
      <c r="H12" s="18">
        <v>65010.86</v>
      </c>
      <c r="I12" s="18"/>
      <c r="J12" s="67">
        <f>SUM(I440)</f>
        <v>5095215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29395.94</v>
      </c>
      <c r="H13" s="18">
        <v>484002.81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>
        <v>895.25</v>
      </c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19703.72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0</v>
      </c>
      <c r="G19" s="41">
        <f>SUM(G9:G18)</f>
        <v>71979.23</v>
      </c>
      <c r="H19" s="41">
        <f>SUM(H9:H18)</f>
        <v>549908.92000000004</v>
      </c>
      <c r="I19" s="41">
        <f>SUM(I9:I18)</f>
        <v>0</v>
      </c>
      <c r="J19" s="41">
        <f>SUM(J9:J18)</f>
        <v>5143245.8600000003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>
        <v>150</v>
      </c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>
        <v>5666.46</v>
      </c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28486.73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>
        <v>37799.599999999999</v>
      </c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0</v>
      </c>
      <c r="G32" s="41">
        <f>SUM(G22:G31)</f>
        <v>71952.790000000008</v>
      </c>
      <c r="H32" s="41">
        <f>SUM(H22:H31)</f>
        <v>150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5143245.8600000003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v>26.44</v>
      </c>
      <c r="H47" s="18">
        <v>549758.92000000004</v>
      </c>
      <c r="I47" s="18"/>
      <c r="J47" s="13">
        <f>SUM(I458)</f>
        <v>0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/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0</v>
      </c>
      <c r="G50" s="41">
        <f>SUM(G35:G49)</f>
        <v>26.44</v>
      </c>
      <c r="H50" s="41">
        <f>SUM(H35:H49)</f>
        <v>549758.92000000004</v>
      </c>
      <c r="I50" s="41">
        <f>SUM(I35:I49)</f>
        <v>0</v>
      </c>
      <c r="J50" s="41">
        <f>SUM(J35:J49)</f>
        <v>5143245.8600000003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0</v>
      </c>
      <c r="G51" s="41">
        <f>G50+G32</f>
        <v>71979.23000000001</v>
      </c>
      <c r="H51" s="41">
        <f>H50+H32</f>
        <v>549908.92000000004</v>
      </c>
      <c r="I51" s="41">
        <f>I50+I32</f>
        <v>0</v>
      </c>
      <c r="J51" s="41">
        <f>J50+J32</f>
        <v>5143245.8600000003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21774308.629999999</v>
      </c>
      <c r="G56" s="18"/>
      <c r="H56" s="18">
        <v>294439.26</v>
      </c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21774308.629999999</v>
      </c>
      <c r="G59" s="41">
        <f>SUM(G56:G58)</f>
        <v>0</v>
      </c>
      <c r="H59" s="41">
        <f>SUM(H56:H58)</f>
        <v>294439.26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7187.04</v>
      </c>
      <c r="G62" s="24" t="s">
        <v>289</v>
      </c>
      <c r="H62" s="18">
        <v>38415.17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>
        <v>8147.89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5522786.9100000001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>
        <v>681691.31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5529973.9500000002</v>
      </c>
      <c r="G78" s="45" t="s">
        <v>289</v>
      </c>
      <c r="H78" s="41">
        <f>SUM(H62:H77)</f>
        <v>728254.37000000011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/>
      <c r="G95" s="18">
        <v>21.74</v>
      </c>
      <c r="H95" s="18"/>
      <c r="I95" s="18"/>
      <c r="J95" s="18">
        <v>548884.56000000006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404536.92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>
        <v>10799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19474.099999999999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v>61397.34</v>
      </c>
      <c r="I101" s="18"/>
      <c r="J101" s="18">
        <v>45690.86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2746.6</v>
      </c>
      <c r="G109" s="18"/>
      <c r="H109" s="18">
        <v>82596.75</v>
      </c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22220.699999999997</v>
      </c>
      <c r="G110" s="41">
        <f>SUM(G95:G109)</f>
        <v>404558.66</v>
      </c>
      <c r="H110" s="41">
        <f>SUM(H95:H109)</f>
        <v>154793.09</v>
      </c>
      <c r="I110" s="41">
        <f>SUM(I95:I109)</f>
        <v>0</v>
      </c>
      <c r="J110" s="41">
        <f>SUM(J95:J109)</f>
        <v>594575.42000000004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27326503.279999997</v>
      </c>
      <c r="G111" s="41">
        <f>G59+G110</f>
        <v>404558.66</v>
      </c>
      <c r="H111" s="41">
        <f>H59+H78+H93+H110</f>
        <v>1177486.7200000002</v>
      </c>
      <c r="I111" s="41">
        <f>I59+I110</f>
        <v>0</v>
      </c>
      <c r="J111" s="41">
        <f>J59+J110</f>
        <v>594575.42000000004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/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9361188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>
        <v>0</v>
      </c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9361188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1319095.73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294439.26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8273.65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1613534.99</v>
      </c>
      <c r="G135" s="41">
        <f>SUM(G122:G134)</f>
        <v>8273.65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10974722.99</v>
      </c>
      <c r="G139" s="41">
        <f>G120+SUM(G135:G136)</f>
        <v>8273.65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712074.18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175319.22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v>65079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313742.84000000003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622447.03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/>
      <c r="G159" s="24" t="s">
        <v>289</v>
      </c>
      <c r="H159" s="18">
        <v>423124.49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>
        <v>32213</v>
      </c>
      <c r="H160" s="18">
        <v>26970.240000000002</v>
      </c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0</v>
      </c>
      <c r="G161" s="41">
        <f>SUM(G149:G160)</f>
        <v>345955.84000000003</v>
      </c>
      <c r="H161" s="41">
        <f>SUM(H149:H160)</f>
        <v>2025014.1600000001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>
        <v>576.96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576.96</v>
      </c>
      <c r="G168" s="41">
        <f>G146+G161+SUM(G162:G167)</f>
        <v>345955.84000000003</v>
      </c>
      <c r="H168" s="41">
        <f>H146+H161+SUM(H162:H167)</f>
        <v>2025014.1600000001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21442.16</v>
      </c>
      <c r="H178" s="18">
        <v>754027</v>
      </c>
      <c r="I178" s="18"/>
      <c r="J178" s="18"/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21442.16</v>
      </c>
      <c r="H182" s="41">
        <f>SUM(H178:H181)</f>
        <v>754027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21442.16</v>
      </c>
      <c r="H191" s="41">
        <f>+H182+SUM(H187:H190)</f>
        <v>754027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38301803.229999997</v>
      </c>
      <c r="G192" s="47">
        <f>G111+G139+G168+G191</f>
        <v>780230.31</v>
      </c>
      <c r="H192" s="47">
        <f>H111+H139+H168+H191</f>
        <v>3956527.8800000004</v>
      </c>
      <c r="I192" s="47">
        <f>I111+I139+I168+I191</f>
        <v>0</v>
      </c>
      <c r="J192" s="47">
        <f>J111+J139+J191</f>
        <v>594575.42000000004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4665939.28</v>
      </c>
      <c r="G196" s="18">
        <v>2397357.7799999998</v>
      </c>
      <c r="H196" s="18">
        <v>10255</v>
      </c>
      <c r="I196" s="18">
        <v>153081.07999999999</v>
      </c>
      <c r="J196" s="18">
        <v>7189.49</v>
      </c>
      <c r="K196" s="18"/>
      <c r="L196" s="19">
        <f>SUM(F196:K196)</f>
        <v>7233822.6300000008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1187120.6000000001</v>
      </c>
      <c r="G197" s="18">
        <v>555228.18999999994</v>
      </c>
      <c r="H197" s="18">
        <v>214985.15</v>
      </c>
      <c r="I197" s="18">
        <v>3784.53</v>
      </c>
      <c r="J197" s="18"/>
      <c r="K197" s="18">
        <v>100</v>
      </c>
      <c r="L197" s="19">
        <f>SUM(F197:K197)</f>
        <v>1961218.47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36264</v>
      </c>
      <c r="G199" s="18">
        <v>5901.53</v>
      </c>
      <c r="H199" s="18">
        <v>3050</v>
      </c>
      <c r="I199" s="18"/>
      <c r="J199" s="18"/>
      <c r="K199" s="18"/>
      <c r="L199" s="19">
        <f>SUM(F199:K199)</f>
        <v>45215.53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1456737.1</v>
      </c>
      <c r="G201" s="18">
        <v>697079.39</v>
      </c>
      <c r="H201" s="18">
        <v>40430.47</v>
      </c>
      <c r="I201" s="18">
        <v>25461.48</v>
      </c>
      <c r="J201" s="18"/>
      <c r="K201" s="18">
        <v>3216</v>
      </c>
      <c r="L201" s="19">
        <f t="shared" ref="L201:L207" si="0">SUM(F201:K201)</f>
        <v>2222924.4400000004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232962.39</v>
      </c>
      <c r="G202" s="18">
        <v>114447.74</v>
      </c>
      <c r="H202" s="18">
        <v>4285.88</v>
      </c>
      <c r="I202" s="18">
        <v>34507.15</v>
      </c>
      <c r="J202" s="18">
        <v>71406.039999999994</v>
      </c>
      <c r="K202" s="18"/>
      <c r="L202" s="19">
        <f t="shared" si="0"/>
        <v>457609.2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167619.51999999999</v>
      </c>
      <c r="G203" s="18">
        <v>80823.03</v>
      </c>
      <c r="H203" s="18">
        <v>40212.69</v>
      </c>
      <c r="I203" s="18">
        <v>5204.26</v>
      </c>
      <c r="J203" s="18">
        <v>460.58</v>
      </c>
      <c r="K203" s="18">
        <v>16997.259999999998</v>
      </c>
      <c r="L203" s="19">
        <f t="shared" si="0"/>
        <v>311317.34000000003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500445</v>
      </c>
      <c r="G204" s="18">
        <v>251326.84</v>
      </c>
      <c r="H204" s="18">
        <v>2540.7399999999998</v>
      </c>
      <c r="I204" s="18">
        <v>2556.38</v>
      </c>
      <c r="J204" s="18"/>
      <c r="K204" s="18"/>
      <c r="L204" s="19">
        <f t="shared" si="0"/>
        <v>756868.96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99688.13</v>
      </c>
      <c r="G205" s="18">
        <v>47727.63</v>
      </c>
      <c r="H205" s="18">
        <v>64592.21</v>
      </c>
      <c r="I205" s="18">
        <v>314.02</v>
      </c>
      <c r="J205" s="18"/>
      <c r="K205" s="18">
        <v>39.909999999999997</v>
      </c>
      <c r="L205" s="19">
        <f t="shared" si="0"/>
        <v>212361.9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425857.54</v>
      </c>
      <c r="G206" s="18">
        <v>200658.23</v>
      </c>
      <c r="H206" s="18">
        <v>199177.27</v>
      </c>
      <c r="I206" s="18">
        <v>227029.25</v>
      </c>
      <c r="J206" s="18">
        <v>86207.53</v>
      </c>
      <c r="K206" s="18">
        <v>1474.03</v>
      </c>
      <c r="L206" s="19">
        <f t="shared" si="0"/>
        <v>1140403.8500000001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326468.88</v>
      </c>
      <c r="I207" s="18"/>
      <c r="J207" s="18"/>
      <c r="K207" s="18"/>
      <c r="L207" s="19">
        <f t="shared" si="0"/>
        <v>326468.88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165501.66</v>
      </c>
      <c r="G208" s="18">
        <v>82085.789999999994</v>
      </c>
      <c r="H208" s="18">
        <v>14243.37</v>
      </c>
      <c r="I208" s="18">
        <v>18255.46</v>
      </c>
      <c r="J208" s="18">
        <v>12508.54</v>
      </c>
      <c r="K208" s="18">
        <v>798.28</v>
      </c>
      <c r="L208" s="19">
        <f>SUM(F208:K208)</f>
        <v>293393.10000000003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8938135.2199999988</v>
      </c>
      <c r="G210" s="41">
        <f t="shared" si="1"/>
        <v>4432636.1499999994</v>
      </c>
      <c r="H210" s="41">
        <f t="shared" si="1"/>
        <v>920241.66</v>
      </c>
      <c r="I210" s="41">
        <f t="shared" si="1"/>
        <v>470193.61000000004</v>
      </c>
      <c r="J210" s="41">
        <f t="shared" si="1"/>
        <v>177772.18000000002</v>
      </c>
      <c r="K210" s="41">
        <f t="shared" si="1"/>
        <v>22625.479999999996</v>
      </c>
      <c r="L210" s="41">
        <f t="shared" si="1"/>
        <v>14961604.300000001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2275829.11</v>
      </c>
      <c r="G214" s="18">
        <v>1190508.3</v>
      </c>
      <c r="H214" s="18">
        <v>500</v>
      </c>
      <c r="I214" s="18">
        <v>93424.93</v>
      </c>
      <c r="J214" s="18">
        <v>33267</v>
      </c>
      <c r="K214" s="18"/>
      <c r="L214" s="19">
        <f>SUM(F214:K214)</f>
        <v>3593529.3400000003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505864.25</v>
      </c>
      <c r="G215" s="18">
        <v>237280.07</v>
      </c>
      <c r="H215" s="18">
        <v>208548.63</v>
      </c>
      <c r="I215" s="18">
        <v>1010.59</v>
      </c>
      <c r="J215" s="18"/>
      <c r="K215" s="18"/>
      <c r="L215" s="19">
        <f>SUM(F215:K215)</f>
        <v>952703.54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>
        <v>299355.03000000003</v>
      </c>
      <c r="G216" s="18">
        <v>148775.89000000001</v>
      </c>
      <c r="H216" s="18"/>
      <c r="I216" s="18">
        <v>8322.4699999999993</v>
      </c>
      <c r="J216" s="18">
        <v>21941.62</v>
      </c>
      <c r="K216" s="18"/>
      <c r="L216" s="19">
        <f>SUM(F216:K216)</f>
        <v>478395.01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56017</v>
      </c>
      <c r="G217" s="18">
        <v>8222.06</v>
      </c>
      <c r="H217" s="18">
        <v>8942.5</v>
      </c>
      <c r="I217" s="18">
        <v>9851.94</v>
      </c>
      <c r="J217" s="18"/>
      <c r="K217" s="18"/>
      <c r="L217" s="19">
        <f>SUM(F217:K217)</f>
        <v>83033.5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390610.85</v>
      </c>
      <c r="G219" s="18">
        <v>192366.25</v>
      </c>
      <c r="H219" s="18">
        <v>10051.290000000001</v>
      </c>
      <c r="I219" s="18">
        <v>3635.99</v>
      </c>
      <c r="J219" s="18"/>
      <c r="K219" s="18"/>
      <c r="L219" s="19">
        <f t="shared" ref="L219:L225" si="2">SUM(F219:K219)</f>
        <v>596664.38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40160</v>
      </c>
      <c r="G220" s="18">
        <v>17275.53</v>
      </c>
      <c r="H220" s="18">
        <v>1990.87</v>
      </c>
      <c r="I220" s="18">
        <v>13600.31</v>
      </c>
      <c r="J220" s="18">
        <v>32180.03</v>
      </c>
      <c r="K220" s="18"/>
      <c r="L220" s="19">
        <f t="shared" si="2"/>
        <v>105206.74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77689.62</v>
      </c>
      <c r="G221" s="18">
        <v>37518.31</v>
      </c>
      <c r="H221" s="18">
        <v>18694.939999999999</v>
      </c>
      <c r="I221" s="18">
        <v>2417.48</v>
      </c>
      <c r="J221" s="18">
        <v>213.95</v>
      </c>
      <c r="K221" s="18">
        <v>7895.55</v>
      </c>
      <c r="L221" s="19">
        <f t="shared" si="2"/>
        <v>144429.85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275765.7</v>
      </c>
      <c r="G222" s="18">
        <v>136883.04999999999</v>
      </c>
      <c r="H222" s="18">
        <v>2143.15</v>
      </c>
      <c r="I222" s="18">
        <v>1738.38</v>
      </c>
      <c r="J222" s="18"/>
      <c r="K222" s="18">
        <v>399</v>
      </c>
      <c r="L222" s="19">
        <f t="shared" si="2"/>
        <v>416929.28000000003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46307.06</v>
      </c>
      <c r="G223" s="18">
        <v>22170.400000000001</v>
      </c>
      <c r="H223" s="18">
        <v>29815.68</v>
      </c>
      <c r="I223" s="18">
        <v>145.87</v>
      </c>
      <c r="J223" s="18"/>
      <c r="K223" s="18">
        <v>18.54</v>
      </c>
      <c r="L223" s="19">
        <f t="shared" si="2"/>
        <v>98457.549999999974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237013.95</v>
      </c>
      <c r="G224" s="18">
        <v>112457.15</v>
      </c>
      <c r="H224" s="18">
        <v>84327.87</v>
      </c>
      <c r="I224" s="18">
        <v>238082.34</v>
      </c>
      <c r="J224" s="18">
        <v>3812.55</v>
      </c>
      <c r="K224" s="18">
        <v>684.72</v>
      </c>
      <c r="L224" s="19">
        <f t="shared" si="2"/>
        <v>676378.58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169621.46</v>
      </c>
      <c r="I225" s="18"/>
      <c r="J225" s="18"/>
      <c r="K225" s="18"/>
      <c r="L225" s="19">
        <f t="shared" si="2"/>
        <v>169621.46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v>76878.710000000006</v>
      </c>
      <c r="G226" s="18">
        <v>36849.85</v>
      </c>
      <c r="H226" s="18">
        <v>6616.32</v>
      </c>
      <c r="I226" s="18">
        <v>8480.01</v>
      </c>
      <c r="J226" s="18">
        <v>5810.45</v>
      </c>
      <c r="K226" s="18">
        <v>370.82</v>
      </c>
      <c r="L226" s="19">
        <f>SUM(F226:K226)</f>
        <v>135006.16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4281491.28</v>
      </c>
      <c r="G228" s="41">
        <f>SUM(G214:G227)</f>
        <v>2140306.8600000003</v>
      </c>
      <c r="H228" s="41">
        <f>SUM(H214:H227)</f>
        <v>541252.71</v>
      </c>
      <c r="I228" s="41">
        <f>SUM(I214:I227)</f>
        <v>380710.31</v>
      </c>
      <c r="J228" s="41">
        <f>SUM(J214:J227)</f>
        <v>97225.599999999991</v>
      </c>
      <c r="K228" s="41">
        <f t="shared" si="3"/>
        <v>9368.6299999999992</v>
      </c>
      <c r="L228" s="41">
        <f t="shared" si="3"/>
        <v>7450355.3900000006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4420239.24</v>
      </c>
      <c r="G232" s="18">
        <v>2365026.31</v>
      </c>
      <c r="H232" s="18">
        <v>57641.55</v>
      </c>
      <c r="I232" s="18">
        <v>131329.74</v>
      </c>
      <c r="J232" s="18">
        <v>18044.8</v>
      </c>
      <c r="K232" s="18">
        <v>2695</v>
      </c>
      <c r="L232" s="19">
        <f>SUM(F232:K232)</f>
        <v>6994976.6400000006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598970.93000000005</v>
      </c>
      <c r="G233" s="18">
        <v>288550.81</v>
      </c>
      <c r="H233" s="18">
        <v>579404.54</v>
      </c>
      <c r="I233" s="18">
        <v>2528.48</v>
      </c>
      <c r="J233" s="18"/>
      <c r="K233" s="18"/>
      <c r="L233" s="19">
        <f>SUM(F233:K233)</f>
        <v>1469454.76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354566.33</v>
      </c>
      <c r="G234" s="18">
        <v>173456.97</v>
      </c>
      <c r="H234" s="18">
        <v>24023.47</v>
      </c>
      <c r="I234" s="18">
        <v>23082.86</v>
      </c>
      <c r="J234" s="18">
        <v>8863.59</v>
      </c>
      <c r="K234" s="18"/>
      <c r="L234" s="19">
        <f>SUM(F234:K234)</f>
        <v>583993.22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239957.44</v>
      </c>
      <c r="G235" s="18">
        <v>30802.32</v>
      </c>
      <c r="H235" s="18">
        <v>84842.25</v>
      </c>
      <c r="I235" s="18">
        <v>61258.32</v>
      </c>
      <c r="J235" s="18"/>
      <c r="K235" s="18"/>
      <c r="L235" s="19">
        <f>SUM(F235:K235)</f>
        <v>416860.33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925834.91</v>
      </c>
      <c r="G237" s="18">
        <v>447991.92</v>
      </c>
      <c r="H237" s="18">
        <v>26919.51</v>
      </c>
      <c r="I237" s="18">
        <v>6135.87</v>
      </c>
      <c r="J237" s="18"/>
      <c r="K237" s="18">
        <v>12812.23</v>
      </c>
      <c r="L237" s="19">
        <f t="shared" ref="L237:L243" si="4">SUM(F237:K237)</f>
        <v>1419694.4400000002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43932.05</v>
      </c>
      <c r="G238" s="18">
        <v>21738.27</v>
      </c>
      <c r="H238" s="18">
        <v>8418.52</v>
      </c>
      <c r="I238" s="18">
        <v>21703.82</v>
      </c>
      <c r="J238" s="18">
        <v>75430.679999999993</v>
      </c>
      <c r="K238" s="18">
        <v>260</v>
      </c>
      <c r="L238" s="19">
        <f t="shared" si="4"/>
        <v>171483.34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380319.89</v>
      </c>
      <c r="G239" s="18">
        <v>183994.01</v>
      </c>
      <c r="H239" s="18">
        <v>53747.61</v>
      </c>
      <c r="I239" s="18">
        <v>5416.88</v>
      </c>
      <c r="J239" s="18">
        <v>479.39</v>
      </c>
      <c r="K239" s="18">
        <v>29197.73</v>
      </c>
      <c r="L239" s="19">
        <f t="shared" si="4"/>
        <v>653155.51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490474.8</v>
      </c>
      <c r="G240" s="18">
        <v>245466.01</v>
      </c>
      <c r="H240" s="18">
        <v>59226.400000000001</v>
      </c>
      <c r="I240" s="18">
        <v>2711.69</v>
      </c>
      <c r="J240" s="18"/>
      <c r="K240" s="18">
        <v>23535</v>
      </c>
      <c r="L240" s="19">
        <f t="shared" si="4"/>
        <v>821413.9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103760.65</v>
      </c>
      <c r="G241" s="18">
        <v>49924.17</v>
      </c>
      <c r="H241" s="18">
        <v>70590.399999999994</v>
      </c>
      <c r="I241" s="18">
        <v>326.85000000000002</v>
      </c>
      <c r="J241" s="18"/>
      <c r="K241" s="18">
        <v>41.54</v>
      </c>
      <c r="L241" s="19">
        <f t="shared" si="4"/>
        <v>224643.61000000002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521334.33</v>
      </c>
      <c r="G242" s="18">
        <v>244832.59</v>
      </c>
      <c r="H242" s="18">
        <v>356483.92</v>
      </c>
      <c r="I242" s="18">
        <v>533128.27</v>
      </c>
      <c r="J242" s="18">
        <v>8542.82</v>
      </c>
      <c r="K242" s="18">
        <v>1534.25</v>
      </c>
      <c r="L242" s="19">
        <f t="shared" si="4"/>
        <v>1665856.1800000002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387553.28000000003</v>
      </c>
      <c r="I243" s="18"/>
      <c r="J243" s="18"/>
      <c r="K243" s="18"/>
      <c r="L243" s="19">
        <f t="shared" si="4"/>
        <v>387553.28000000003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v>172262.78</v>
      </c>
      <c r="G244" s="18">
        <v>85349.2</v>
      </c>
      <c r="H244" s="18">
        <v>14825.24</v>
      </c>
      <c r="I244" s="18">
        <v>19001.28</v>
      </c>
      <c r="J244" s="18">
        <v>13019.76</v>
      </c>
      <c r="K244" s="18">
        <v>830.91</v>
      </c>
      <c r="L244" s="19">
        <f>SUM(F244:K244)</f>
        <v>305289.17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8251653.3500000006</v>
      </c>
      <c r="G246" s="41">
        <f t="shared" si="5"/>
        <v>4137132.58</v>
      </c>
      <c r="H246" s="41">
        <f t="shared" si="5"/>
        <v>1723676.6900000002</v>
      </c>
      <c r="I246" s="41">
        <f t="shared" si="5"/>
        <v>806624.06</v>
      </c>
      <c r="J246" s="41">
        <f t="shared" si="5"/>
        <v>124381.04</v>
      </c>
      <c r="K246" s="41">
        <f t="shared" si="5"/>
        <v>70906.659999999989</v>
      </c>
      <c r="L246" s="41">
        <f t="shared" si="5"/>
        <v>15114374.379999999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21471279.850000001</v>
      </c>
      <c r="G256" s="41">
        <f t="shared" si="8"/>
        <v>10710075.59</v>
      </c>
      <c r="H256" s="41">
        <f t="shared" si="8"/>
        <v>3185171.0600000005</v>
      </c>
      <c r="I256" s="41">
        <f t="shared" si="8"/>
        <v>1657527.98</v>
      </c>
      <c r="J256" s="41">
        <f t="shared" si="8"/>
        <v>399378.82</v>
      </c>
      <c r="K256" s="41">
        <f t="shared" si="8"/>
        <v>102900.76999999999</v>
      </c>
      <c r="L256" s="41">
        <f t="shared" si="8"/>
        <v>37526334.07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21442.16</v>
      </c>
      <c r="L262" s="19">
        <f>SUM(F262:K262)</f>
        <v>21442.16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754027</v>
      </c>
      <c r="L263" s="19">
        <f t="shared" ref="L263:L269" si="9">SUM(F263:K263)</f>
        <v>754027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775469.16</v>
      </c>
      <c r="L269" s="41">
        <f t="shared" si="9"/>
        <v>775469.16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21471279.850000001</v>
      </c>
      <c r="G270" s="42">
        <f t="shared" si="11"/>
        <v>10710075.59</v>
      </c>
      <c r="H270" s="42">
        <f t="shared" si="11"/>
        <v>3185171.0600000005</v>
      </c>
      <c r="I270" s="42">
        <f t="shared" si="11"/>
        <v>1657527.98</v>
      </c>
      <c r="J270" s="42">
        <f t="shared" si="11"/>
        <v>399378.82</v>
      </c>
      <c r="K270" s="42">
        <f t="shared" si="11"/>
        <v>878369.93</v>
      </c>
      <c r="L270" s="42">
        <f t="shared" si="11"/>
        <v>38301803.229999997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109443.43</v>
      </c>
      <c r="G275" s="18">
        <v>15761.41</v>
      </c>
      <c r="H275" s="18">
        <v>70.89</v>
      </c>
      <c r="I275" s="18">
        <v>961.9</v>
      </c>
      <c r="J275" s="18"/>
      <c r="K275" s="18"/>
      <c r="L275" s="19">
        <f>SUM(F275:K275)</f>
        <v>126237.62999999999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716675.46</v>
      </c>
      <c r="G276" s="18">
        <v>97047.82</v>
      </c>
      <c r="H276" s="18">
        <v>42802.35</v>
      </c>
      <c r="I276" s="18">
        <v>18813.14</v>
      </c>
      <c r="J276" s="18">
        <v>1402.67</v>
      </c>
      <c r="K276" s="18"/>
      <c r="L276" s="19">
        <f>SUM(F276:K276)</f>
        <v>876741.44000000006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3100</v>
      </c>
      <c r="G278" s="18">
        <v>462.45</v>
      </c>
      <c r="H278" s="18">
        <v>6012</v>
      </c>
      <c r="I278" s="18">
        <v>4354.47</v>
      </c>
      <c r="J278" s="18"/>
      <c r="K278" s="18"/>
      <c r="L278" s="19">
        <f>SUM(F278:K278)</f>
        <v>13928.920000000002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>
        <v>63638.43</v>
      </c>
      <c r="I280" s="18">
        <v>1087.25</v>
      </c>
      <c r="J280" s="18"/>
      <c r="K280" s="18"/>
      <c r="L280" s="19">
        <f t="shared" ref="L280:L286" si="12">SUM(F280:K280)</f>
        <v>64725.68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990</v>
      </c>
      <c r="G281" s="18">
        <v>57.7</v>
      </c>
      <c r="H281" s="18">
        <v>56921.7</v>
      </c>
      <c r="I281" s="18">
        <v>4566</v>
      </c>
      <c r="J281" s="18"/>
      <c r="K281" s="18">
        <v>125</v>
      </c>
      <c r="L281" s="19">
        <f t="shared" si="12"/>
        <v>62660.399999999994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v>64993.18</v>
      </c>
      <c r="G282" s="18">
        <v>11920.32</v>
      </c>
      <c r="H282" s="18">
        <v>430.5</v>
      </c>
      <c r="I282" s="18"/>
      <c r="J282" s="18"/>
      <c r="K282" s="18"/>
      <c r="L282" s="19">
        <f t="shared" si="12"/>
        <v>77344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>
        <v>4756.58</v>
      </c>
      <c r="I286" s="18"/>
      <c r="J286" s="18"/>
      <c r="K286" s="18"/>
      <c r="L286" s="19">
        <f t="shared" si="12"/>
        <v>4756.58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895202.07</v>
      </c>
      <c r="G289" s="42">
        <f t="shared" si="13"/>
        <v>125249.70000000001</v>
      </c>
      <c r="H289" s="42">
        <f t="shared" si="13"/>
        <v>174632.44999999998</v>
      </c>
      <c r="I289" s="42">
        <f t="shared" si="13"/>
        <v>29782.760000000002</v>
      </c>
      <c r="J289" s="42">
        <f t="shared" si="13"/>
        <v>1402.67</v>
      </c>
      <c r="K289" s="42">
        <f t="shared" si="13"/>
        <v>125</v>
      </c>
      <c r="L289" s="41">
        <f t="shared" si="13"/>
        <v>1226394.6500000001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26666.15</v>
      </c>
      <c r="G294" s="18">
        <v>3362.31</v>
      </c>
      <c r="H294" s="18">
        <v>32.93</v>
      </c>
      <c r="I294" s="18"/>
      <c r="J294" s="18"/>
      <c r="K294" s="18"/>
      <c r="L294" s="19">
        <f>SUM(F294:K294)</f>
        <v>30061.390000000003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432451.48</v>
      </c>
      <c r="G295" s="18">
        <v>67999.149999999994</v>
      </c>
      <c r="H295" s="18">
        <v>16891.009999999998</v>
      </c>
      <c r="I295" s="18">
        <v>1029.33</v>
      </c>
      <c r="J295" s="18">
        <v>651.57000000000005</v>
      </c>
      <c r="K295" s="18"/>
      <c r="L295" s="19">
        <f>SUM(F295:K295)</f>
        <v>519022.54000000004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>
        <v>7110.53</v>
      </c>
      <c r="I299" s="18"/>
      <c r="J299" s="18"/>
      <c r="K299" s="18"/>
      <c r="L299" s="19">
        <f t="shared" ref="L299:L305" si="14">SUM(F299:K299)</f>
        <v>7110.53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>
        <v>8202.42</v>
      </c>
      <c r="G301" s="18">
        <v>1350.83</v>
      </c>
      <c r="H301" s="18"/>
      <c r="I301" s="18"/>
      <c r="J301" s="18"/>
      <c r="K301" s="18"/>
      <c r="L301" s="19">
        <f t="shared" si="14"/>
        <v>9553.25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>
        <v>2209.52</v>
      </c>
      <c r="I305" s="18"/>
      <c r="J305" s="18"/>
      <c r="K305" s="18"/>
      <c r="L305" s="19">
        <f t="shared" si="14"/>
        <v>2209.52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467320.05</v>
      </c>
      <c r="G308" s="42">
        <f t="shared" si="15"/>
        <v>72712.289999999994</v>
      </c>
      <c r="H308" s="42">
        <f t="shared" si="15"/>
        <v>26243.989999999998</v>
      </c>
      <c r="I308" s="42">
        <f t="shared" si="15"/>
        <v>1029.33</v>
      </c>
      <c r="J308" s="42">
        <f t="shared" si="15"/>
        <v>651.57000000000005</v>
      </c>
      <c r="K308" s="42">
        <f t="shared" si="15"/>
        <v>0</v>
      </c>
      <c r="L308" s="41">
        <f t="shared" si="15"/>
        <v>567957.2300000001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59751.06</v>
      </c>
      <c r="G313" s="18">
        <v>7533.95</v>
      </c>
      <c r="H313" s="18">
        <v>73.78</v>
      </c>
      <c r="I313" s="18"/>
      <c r="J313" s="18"/>
      <c r="K313" s="18"/>
      <c r="L313" s="19">
        <f>SUM(F313:K313)</f>
        <v>67358.789999999994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1232011.77</v>
      </c>
      <c r="G314" s="18">
        <v>213287.52</v>
      </c>
      <c r="H314" s="18">
        <v>74515.88</v>
      </c>
      <c r="I314" s="18">
        <v>23168.32</v>
      </c>
      <c r="J314" s="18">
        <v>1459.97</v>
      </c>
      <c r="K314" s="18"/>
      <c r="L314" s="19">
        <f>SUM(F314:K314)</f>
        <v>1544443.46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>
        <v>15895</v>
      </c>
      <c r="G315" s="18">
        <v>1216.1600000000001</v>
      </c>
      <c r="H315" s="18">
        <v>4802.1899999999996</v>
      </c>
      <c r="I315" s="18">
        <v>5407.92</v>
      </c>
      <c r="J315" s="18">
        <v>3427.56</v>
      </c>
      <c r="K315" s="18">
        <v>790.14</v>
      </c>
      <c r="L315" s="19">
        <f>SUM(F315:K315)</f>
        <v>31538.969999999998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v>8200</v>
      </c>
      <c r="G316" s="18">
        <v>1416.05</v>
      </c>
      <c r="H316" s="18">
        <v>71112.509999999995</v>
      </c>
      <c r="I316" s="18">
        <v>8943.8799999999992</v>
      </c>
      <c r="J316" s="18"/>
      <c r="K316" s="18"/>
      <c r="L316" s="19">
        <f>SUM(F316:K316)</f>
        <v>89672.44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25760.67</v>
      </c>
      <c r="G318" s="18">
        <v>1491.43</v>
      </c>
      <c r="H318" s="18">
        <v>21815.13</v>
      </c>
      <c r="I318" s="18"/>
      <c r="J318" s="18"/>
      <c r="K318" s="18">
        <v>61279.89</v>
      </c>
      <c r="L318" s="19">
        <f t="shared" ref="L318:L324" si="16">SUM(F318:K318)</f>
        <v>110347.12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>
        <v>1902.53</v>
      </c>
      <c r="L319" s="19">
        <f t="shared" si="16"/>
        <v>1902.53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>
        <v>102059.32</v>
      </c>
      <c r="G320" s="18">
        <v>16592.78</v>
      </c>
      <c r="H320" s="18"/>
      <c r="I320" s="18"/>
      <c r="J320" s="18"/>
      <c r="K320" s="18">
        <v>4383.34</v>
      </c>
      <c r="L320" s="19">
        <f t="shared" si="16"/>
        <v>123035.44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>
        <v>86667.41</v>
      </c>
      <c r="G321" s="18">
        <v>16481.689999999999</v>
      </c>
      <c r="H321" s="18"/>
      <c r="I321" s="18"/>
      <c r="J321" s="18"/>
      <c r="K321" s="18"/>
      <c r="L321" s="19">
        <f t="shared" si="16"/>
        <v>103149.1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>
        <v>1130.55</v>
      </c>
      <c r="I322" s="18"/>
      <c r="J322" s="18"/>
      <c r="K322" s="18"/>
      <c r="L322" s="19">
        <f t="shared" si="16"/>
        <v>1130.55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>
        <v>16242.67</v>
      </c>
      <c r="G323" s="18">
        <v>2672.23</v>
      </c>
      <c r="H323" s="18">
        <v>3455.02</v>
      </c>
      <c r="I323" s="18">
        <v>25478.959999999999</v>
      </c>
      <c r="J323" s="18"/>
      <c r="K323" s="18"/>
      <c r="L323" s="19">
        <f t="shared" si="16"/>
        <v>47848.880000000005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>
        <v>8704.2099999999991</v>
      </c>
      <c r="I324" s="18"/>
      <c r="J324" s="18"/>
      <c r="K324" s="18"/>
      <c r="L324" s="19">
        <f t="shared" si="16"/>
        <v>8704.2099999999991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1546587.9</v>
      </c>
      <c r="G327" s="42">
        <f t="shared" si="17"/>
        <v>260691.81</v>
      </c>
      <c r="H327" s="42">
        <f t="shared" si="17"/>
        <v>185609.26999999996</v>
      </c>
      <c r="I327" s="42">
        <f t="shared" si="17"/>
        <v>62999.079999999994</v>
      </c>
      <c r="J327" s="42">
        <f t="shared" si="17"/>
        <v>4887.53</v>
      </c>
      <c r="K327" s="42">
        <f t="shared" si="17"/>
        <v>68355.899999999994</v>
      </c>
      <c r="L327" s="41">
        <f t="shared" si="17"/>
        <v>2129131.4899999998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2909110.0199999996</v>
      </c>
      <c r="G337" s="41">
        <f t="shared" si="20"/>
        <v>458653.8</v>
      </c>
      <c r="H337" s="41">
        <f t="shared" si="20"/>
        <v>386485.70999999996</v>
      </c>
      <c r="I337" s="41">
        <f t="shared" si="20"/>
        <v>93811.17</v>
      </c>
      <c r="J337" s="41">
        <f t="shared" si="20"/>
        <v>6941.77</v>
      </c>
      <c r="K337" s="41">
        <f t="shared" si="20"/>
        <v>68480.899999999994</v>
      </c>
      <c r="L337" s="41">
        <f t="shared" si="20"/>
        <v>3923483.37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2909110.0199999996</v>
      </c>
      <c r="G351" s="41">
        <f>G337</f>
        <v>458653.8</v>
      </c>
      <c r="H351" s="41">
        <f>H337</f>
        <v>386485.70999999996</v>
      </c>
      <c r="I351" s="41">
        <f>I337</f>
        <v>93811.17</v>
      </c>
      <c r="J351" s="41">
        <f>J337</f>
        <v>6941.77</v>
      </c>
      <c r="K351" s="47">
        <f>K337+K350</f>
        <v>68480.899999999994</v>
      </c>
      <c r="L351" s="41">
        <f>L337+L350</f>
        <v>3923483.37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158667.51</v>
      </c>
      <c r="G357" s="18">
        <v>23267.97</v>
      </c>
      <c r="H357" s="18">
        <v>7741.27</v>
      </c>
      <c r="I357" s="18">
        <v>149979.19</v>
      </c>
      <c r="J357" s="18"/>
      <c r="K357" s="18"/>
      <c r="L357" s="13">
        <f>SUM(F357:K357)</f>
        <v>339655.94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86413.63</v>
      </c>
      <c r="G358" s="18">
        <v>10779.32</v>
      </c>
      <c r="H358" s="18">
        <v>3595.97</v>
      </c>
      <c r="I358" s="18">
        <v>69668.23</v>
      </c>
      <c r="J358" s="18"/>
      <c r="K358" s="18"/>
      <c r="L358" s="19">
        <f>SUM(F358:K358)</f>
        <v>170457.15000000002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148268.82</v>
      </c>
      <c r="G359" s="18">
        <v>17633.64</v>
      </c>
      <c r="H359" s="18">
        <v>8057.52</v>
      </c>
      <c r="I359" s="18">
        <v>156106.19</v>
      </c>
      <c r="J359" s="18"/>
      <c r="K359" s="18"/>
      <c r="L359" s="19">
        <f>SUM(F359:K359)</f>
        <v>330066.17000000004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393349.96</v>
      </c>
      <c r="G361" s="47">
        <f t="shared" si="22"/>
        <v>51680.93</v>
      </c>
      <c r="H361" s="47">
        <f t="shared" si="22"/>
        <v>19394.760000000002</v>
      </c>
      <c r="I361" s="47">
        <f t="shared" si="22"/>
        <v>375753.61</v>
      </c>
      <c r="J361" s="47">
        <f t="shared" si="22"/>
        <v>0</v>
      </c>
      <c r="K361" s="47">
        <f t="shared" si="22"/>
        <v>0</v>
      </c>
      <c r="L361" s="47">
        <f t="shared" si="22"/>
        <v>840179.26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137757.73000000001</v>
      </c>
      <c r="G366" s="18">
        <v>63991.12</v>
      </c>
      <c r="H366" s="18">
        <v>143385.45000000001</v>
      </c>
      <c r="I366" s="56">
        <f>SUM(F366:H366)</f>
        <v>345134.30000000005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12221.46</v>
      </c>
      <c r="G367" s="63">
        <v>5677.11</v>
      </c>
      <c r="H367" s="63">
        <v>12720.74</v>
      </c>
      <c r="I367" s="56">
        <f>SUM(F367:H367)</f>
        <v>30619.309999999998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149979.19</v>
      </c>
      <c r="G368" s="47">
        <f>SUM(G366:G367)</f>
        <v>69668.23</v>
      </c>
      <c r="H368" s="47">
        <f>SUM(H366:H367)</f>
        <v>156106.19</v>
      </c>
      <c r="I368" s="47">
        <f>SUM(I366:I367)</f>
        <v>375753.61000000004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0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 t="s">
        <v>909</v>
      </c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>
        <v>548884.56000000006</v>
      </c>
      <c r="I403" s="18">
        <v>45690.86</v>
      </c>
      <c r="J403" s="24" t="s">
        <v>289</v>
      </c>
      <c r="K403" s="24" t="s">
        <v>289</v>
      </c>
      <c r="L403" s="56">
        <f>SUM(F403:K403)</f>
        <v>594575.42000000004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548884.56000000006</v>
      </c>
      <c r="I406" s="47">
        <f>SUM(I402:I405)</f>
        <v>45690.86</v>
      </c>
      <c r="J406" s="49" t="s">
        <v>289</v>
      </c>
      <c r="K406" s="49" t="s">
        <v>289</v>
      </c>
      <c r="L406" s="47">
        <f>SUM(L402:L405)</f>
        <v>594575.42000000004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548884.56000000006</v>
      </c>
      <c r="I407" s="47">
        <f>I392+I400+I406</f>
        <v>45690.86</v>
      </c>
      <c r="J407" s="24" t="s">
        <v>289</v>
      </c>
      <c r="K407" s="24" t="s">
        <v>289</v>
      </c>
      <c r="L407" s="47">
        <f>L392+L400+L406</f>
        <v>594575.42000000004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 t="s">
        <v>909</v>
      </c>
      <c r="B429" s="6">
        <v>17</v>
      </c>
      <c r="C429" s="6">
        <v>16</v>
      </c>
      <c r="D429" s="2" t="s">
        <v>433</v>
      </c>
      <c r="E429" s="6"/>
      <c r="F429" s="18"/>
      <c r="G429" s="18"/>
      <c r="H429" s="18">
        <v>98400</v>
      </c>
      <c r="I429" s="18"/>
      <c r="J429" s="18"/>
      <c r="K429" s="18">
        <v>14902.43</v>
      </c>
      <c r="L429" s="56">
        <f>SUM(F429:K429)</f>
        <v>113302.43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98400</v>
      </c>
      <c r="I432" s="47">
        <f t="shared" si="31"/>
        <v>0</v>
      </c>
      <c r="J432" s="47">
        <f t="shared" si="31"/>
        <v>0</v>
      </c>
      <c r="K432" s="47">
        <f t="shared" si="31"/>
        <v>14902.43</v>
      </c>
      <c r="L432" s="47">
        <f t="shared" si="31"/>
        <v>113302.43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98400</v>
      </c>
      <c r="I433" s="47">
        <f t="shared" si="32"/>
        <v>0</v>
      </c>
      <c r="J433" s="47">
        <f t="shared" si="32"/>
        <v>0</v>
      </c>
      <c r="K433" s="47">
        <f t="shared" si="32"/>
        <v>14902.43</v>
      </c>
      <c r="L433" s="47">
        <f t="shared" si="32"/>
        <v>113302.43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>
        <v>48030.86</v>
      </c>
      <c r="I438" s="56">
        <f t="shared" ref="I438:I444" si="33">SUM(F438:H438)</f>
        <v>48030.86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>
        <v>5095215</v>
      </c>
      <c r="I440" s="56">
        <f t="shared" si="33"/>
        <v>5095215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0</v>
      </c>
      <c r="H445" s="13">
        <f>SUM(H438:H444)</f>
        <v>5143245.8600000003</v>
      </c>
      <c r="I445" s="13">
        <f>SUM(I438:I444)</f>
        <v>5143245.8600000003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>
        <v>5143245.8600000003</v>
      </c>
      <c r="I456" s="56">
        <f t="shared" si="34"/>
        <v>5143245.8600000003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/>
      <c r="H458" s="18"/>
      <c r="I458" s="56">
        <f t="shared" si="34"/>
        <v>0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0</v>
      </c>
      <c r="H459" s="83">
        <f>SUM(H453:H458)</f>
        <v>5143245.8600000003</v>
      </c>
      <c r="I459" s="83">
        <f>SUM(I453:I458)</f>
        <v>5143245.8600000003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0</v>
      </c>
      <c r="H460" s="42">
        <f>H451+H459</f>
        <v>5143245.8600000003</v>
      </c>
      <c r="I460" s="42">
        <f>I451+I459</f>
        <v>5143245.8600000003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/>
      <c r="G464" s="18">
        <v>59975.39</v>
      </c>
      <c r="H464" s="18">
        <v>516714.41</v>
      </c>
      <c r="I464" s="18"/>
      <c r="J464" s="18">
        <v>4661972.87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38301803.229999997</v>
      </c>
      <c r="G467" s="18">
        <v>780230.31</v>
      </c>
      <c r="H467" s="18">
        <v>3956527.88</v>
      </c>
      <c r="I467" s="18"/>
      <c r="J467" s="18">
        <v>594575.42000000004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38301803.229999997</v>
      </c>
      <c r="G469" s="53">
        <f>SUM(G467:G468)</f>
        <v>780230.31</v>
      </c>
      <c r="H469" s="53">
        <f>SUM(H467:H468)</f>
        <v>3956527.88</v>
      </c>
      <c r="I469" s="53">
        <f>SUM(I467:I468)</f>
        <v>0</v>
      </c>
      <c r="J469" s="53">
        <f>SUM(J467:J468)</f>
        <v>594575.42000000004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38301803.229999997</v>
      </c>
      <c r="G471" s="18">
        <v>840179.26</v>
      </c>
      <c r="H471" s="18">
        <v>3923483.37</v>
      </c>
      <c r="I471" s="18"/>
      <c r="J471" s="18">
        <v>113302.43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38301803.229999997</v>
      </c>
      <c r="G473" s="53">
        <f>SUM(G471:G472)</f>
        <v>840179.26</v>
      </c>
      <c r="H473" s="53">
        <f>SUM(H471:H472)</f>
        <v>3923483.37</v>
      </c>
      <c r="I473" s="53">
        <f>SUM(I471:I472)</f>
        <v>0</v>
      </c>
      <c r="J473" s="53">
        <f>SUM(J471:J472)</f>
        <v>113302.43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0</v>
      </c>
      <c r="G475" s="53">
        <f>(G464+G469)- G473</f>
        <v>26.440000000060536</v>
      </c>
      <c r="H475" s="53">
        <f>(H464+H469)- H473</f>
        <v>549758.91999999993</v>
      </c>
      <c r="I475" s="53">
        <f>(I464+I469)- I473</f>
        <v>0</v>
      </c>
      <c r="J475" s="53">
        <f>(J464+J469)- J473</f>
        <v>5143245.8600000003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/>
      <c r="G497" s="204"/>
      <c r="H497" s="204"/>
      <c r="I497" s="204"/>
      <c r="J497" s="204"/>
      <c r="K497" s="205">
        <f t="shared" si="35"/>
        <v>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/>
      <c r="G500" s="204"/>
      <c r="H500" s="204"/>
      <c r="I500" s="204"/>
      <c r="J500" s="204"/>
      <c r="K500" s="205">
        <f t="shared" si="35"/>
        <v>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1553243.54</v>
      </c>
      <c r="G520" s="18">
        <v>585946.27</v>
      </c>
      <c r="H520" s="18">
        <v>252672.58</v>
      </c>
      <c r="I520" s="18">
        <v>5531.9</v>
      </c>
      <c r="J520" s="18">
        <v>1814.64</v>
      </c>
      <c r="K520" s="18"/>
      <c r="L520" s="88">
        <f>SUM(F520:K520)</f>
        <v>2399208.9300000002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916208.35</v>
      </c>
      <c r="G521" s="18">
        <v>429663.95</v>
      </c>
      <c r="H521" s="18">
        <v>218736.74</v>
      </c>
      <c r="I521" s="18">
        <v>2689.58</v>
      </c>
      <c r="J521" s="18">
        <v>651.16999999999996</v>
      </c>
      <c r="K521" s="18"/>
      <c r="L521" s="88">
        <f>SUM(F521:K521)</f>
        <v>1567949.79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1727849.61</v>
      </c>
      <c r="G522" s="18">
        <v>476891.52</v>
      </c>
      <c r="H522" s="18">
        <v>619887.12</v>
      </c>
      <c r="I522" s="18">
        <v>24774.2</v>
      </c>
      <c r="J522" s="18">
        <v>1459.97</v>
      </c>
      <c r="K522" s="18"/>
      <c r="L522" s="88">
        <f>SUM(F522:K522)</f>
        <v>2850862.4200000004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4197301.5</v>
      </c>
      <c r="G523" s="108">
        <f t="shared" ref="G523:L523" si="36">SUM(G520:G522)</f>
        <v>1492501.74</v>
      </c>
      <c r="H523" s="108">
        <f t="shared" si="36"/>
        <v>1091296.44</v>
      </c>
      <c r="I523" s="108">
        <f t="shared" si="36"/>
        <v>32995.68</v>
      </c>
      <c r="J523" s="108">
        <f t="shared" si="36"/>
        <v>3925.7799999999997</v>
      </c>
      <c r="K523" s="108">
        <f t="shared" si="36"/>
        <v>0</v>
      </c>
      <c r="L523" s="89">
        <f t="shared" si="36"/>
        <v>6818021.1400000006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470540.81</v>
      </c>
      <c r="G525" s="18">
        <v>216242.13</v>
      </c>
      <c r="H525" s="18">
        <v>28412.41</v>
      </c>
      <c r="I525" s="18"/>
      <c r="J525" s="18"/>
      <c r="K525" s="18"/>
      <c r="L525" s="88">
        <f>SUM(F525:K525)</f>
        <v>715195.35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74067.009999999995</v>
      </c>
      <c r="G526" s="18">
        <v>38276.11</v>
      </c>
      <c r="H526" s="18">
        <v>16051.82</v>
      </c>
      <c r="I526" s="18">
        <v>536.05999999999995</v>
      </c>
      <c r="J526" s="18"/>
      <c r="K526" s="18"/>
      <c r="L526" s="88">
        <f>SUM(F526:K526)</f>
        <v>128931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56562.95</v>
      </c>
      <c r="G527" s="18">
        <v>19074.599999999999</v>
      </c>
      <c r="H527" s="18">
        <v>27603.360000000001</v>
      </c>
      <c r="I527" s="18"/>
      <c r="J527" s="18"/>
      <c r="K527" s="18"/>
      <c r="L527" s="88">
        <f>SUM(F527:K527)</f>
        <v>103240.90999999999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601170.7699999999</v>
      </c>
      <c r="G528" s="89">
        <f t="shared" ref="G528:L528" si="37">SUM(G525:G527)</f>
        <v>273592.83999999997</v>
      </c>
      <c r="H528" s="89">
        <f t="shared" si="37"/>
        <v>72067.59</v>
      </c>
      <c r="I528" s="89">
        <f t="shared" si="37"/>
        <v>536.05999999999995</v>
      </c>
      <c r="J528" s="89">
        <f t="shared" si="37"/>
        <v>0</v>
      </c>
      <c r="K528" s="89">
        <f t="shared" si="37"/>
        <v>0</v>
      </c>
      <c r="L528" s="89">
        <f t="shared" si="37"/>
        <v>947367.26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18717.5</v>
      </c>
      <c r="G530" s="18">
        <v>5646.13</v>
      </c>
      <c r="H530" s="18">
        <v>18</v>
      </c>
      <c r="I530" s="18"/>
      <c r="J530" s="18"/>
      <c r="K530" s="18"/>
      <c r="L530" s="88">
        <f>SUM(F530:K530)</f>
        <v>24381.63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8202.42</v>
      </c>
      <c r="G531" s="18">
        <v>1350.83</v>
      </c>
      <c r="H531" s="18">
        <v>23.73</v>
      </c>
      <c r="I531" s="18"/>
      <c r="J531" s="18"/>
      <c r="K531" s="18"/>
      <c r="L531" s="88">
        <f>SUM(F531:K531)</f>
        <v>9576.98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136274.19</v>
      </c>
      <c r="G532" s="18">
        <v>24570.61</v>
      </c>
      <c r="H532" s="18"/>
      <c r="I532" s="18"/>
      <c r="J532" s="18"/>
      <c r="K532" s="18"/>
      <c r="L532" s="88">
        <f>SUM(F532:K532)</f>
        <v>160844.79999999999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163194.10999999999</v>
      </c>
      <c r="G533" s="89">
        <f t="shared" ref="G533:L533" si="38">SUM(G530:G532)</f>
        <v>31567.57</v>
      </c>
      <c r="H533" s="89">
        <f t="shared" si="38"/>
        <v>41.730000000000004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194803.40999999997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22597.06</v>
      </c>
      <c r="I535" s="18"/>
      <c r="J535" s="18"/>
      <c r="K535" s="18"/>
      <c r="L535" s="88">
        <f>SUM(F535:K535)</f>
        <v>22597.06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>
        <v>12819.36</v>
      </c>
      <c r="I536" s="18"/>
      <c r="J536" s="18"/>
      <c r="K536" s="18"/>
      <c r="L536" s="88">
        <f>SUM(F536:K536)</f>
        <v>12819.36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28724.26</v>
      </c>
      <c r="I537" s="18"/>
      <c r="J537" s="18"/>
      <c r="K537" s="18"/>
      <c r="L537" s="88">
        <f>SUM(F537:K537)</f>
        <v>28724.26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64140.679999999993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64140.679999999993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40952.01</v>
      </c>
      <c r="I540" s="18"/>
      <c r="J540" s="18"/>
      <c r="K540" s="18"/>
      <c r="L540" s="88">
        <f>SUM(F540:K540)</f>
        <v>40952.01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19023</v>
      </c>
      <c r="I541" s="18"/>
      <c r="J541" s="18"/>
      <c r="K541" s="18"/>
      <c r="L541" s="88">
        <f>SUM(F541:K541)</f>
        <v>19023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42624.99</v>
      </c>
      <c r="I542" s="18"/>
      <c r="J542" s="18"/>
      <c r="K542" s="18"/>
      <c r="L542" s="88">
        <f>SUM(F542:K542)</f>
        <v>42624.99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102600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102600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4961666.38</v>
      </c>
      <c r="G544" s="89">
        <f t="shared" ref="G544:L544" si="41">G523+G528+G533+G538+G543</f>
        <v>1797662.1500000001</v>
      </c>
      <c r="H544" s="89">
        <f t="shared" si="41"/>
        <v>1330146.44</v>
      </c>
      <c r="I544" s="89">
        <f t="shared" si="41"/>
        <v>33531.74</v>
      </c>
      <c r="J544" s="89">
        <f t="shared" si="41"/>
        <v>3925.7799999999997</v>
      </c>
      <c r="K544" s="89">
        <f t="shared" si="41"/>
        <v>0</v>
      </c>
      <c r="L544" s="89">
        <f t="shared" si="41"/>
        <v>8126932.4900000002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2399208.9300000002</v>
      </c>
      <c r="G548" s="87">
        <f>L525</f>
        <v>715195.35</v>
      </c>
      <c r="H548" s="87">
        <f>L530</f>
        <v>24381.63</v>
      </c>
      <c r="I548" s="87">
        <f>L535</f>
        <v>22597.06</v>
      </c>
      <c r="J548" s="87">
        <f>L540</f>
        <v>40952.01</v>
      </c>
      <c r="K548" s="87">
        <f>SUM(F548:J548)</f>
        <v>3202334.98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1567949.79</v>
      </c>
      <c r="G549" s="87">
        <f>L526</f>
        <v>128931</v>
      </c>
      <c r="H549" s="87">
        <f>L531</f>
        <v>9576.98</v>
      </c>
      <c r="I549" s="87">
        <f>L536</f>
        <v>12819.36</v>
      </c>
      <c r="J549" s="87">
        <f>L541</f>
        <v>19023</v>
      </c>
      <c r="K549" s="87">
        <f>SUM(F549:J549)</f>
        <v>1738300.1300000001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2850862.4200000004</v>
      </c>
      <c r="G550" s="87">
        <f>L527</f>
        <v>103240.90999999999</v>
      </c>
      <c r="H550" s="87">
        <f>L532</f>
        <v>160844.79999999999</v>
      </c>
      <c r="I550" s="87">
        <f>L537</f>
        <v>28724.26</v>
      </c>
      <c r="J550" s="87">
        <f>L542</f>
        <v>42624.99</v>
      </c>
      <c r="K550" s="87">
        <f>SUM(F550:J550)</f>
        <v>3186297.3800000004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6818021.1400000006</v>
      </c>
      <c r="G551" s="89">
        <f t="shared" si="42"/>
        <v>947367.26</v>
      </c>
      <c r="H551" s="89">
        <f t="shared" si="42"/>
        <v>194803.40999999997</v>
      </c>
      <c r="I551" s="89">
        <f t="shared" si="42"/>
        <v>64140.679999999993</v>
      </c>
      <c r="J551" s="89">
        <f t="shared" si="42"/>
        <v>102600</v>
      </c>
      <c r="K551" s="89">
        <f t="shared" si="42"/>
        <v>8126932.4900000002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>
        <v>902126.67</v>
      </c>
      <c r="G556" s="18">
        <v>429552.58</v>
      </c>
      <c r="H556" s="18">
        <v>195085.99</v>
      </c>
      <c r="I556" s="18">
        <v>45786.99</v>
      </c>
      <c r="J556" s="18"/>
      <c r="K556" s="18">
        <v>4508.34</v>
      </c>
      <c r="L556" s="88">
        <f>SUM(F556:K556)</f>
        <v>1577060.57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>
        <v>84721.43</v>
      </c>
      <c r="G557" s="18">
        <v>41957.79</v>
      </c>
      <c r="H557" s="18"/>
      <c r="I557" s="18">
        <v>2294.3000000000002</v>
      </c>
      <c r="J557" s="18"/>
      <c r="K557" s="18"/>
      <c r="L557" s="88">
        <f>SUM(F557:K557)</f>
        <v>128973.52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>
        <v>4181.7</v>
      </c>
      <c r="G558" s="18">
        <v>792.43</v>
      </c>
      <c r="H558" s="18">
        <v>27654.79</v>
      </c>
      <c r="I558" s="18">
        <v>2843.18</v>
      </c>
      <c r="J558" s="18"/>
      <c r="K558" s="18"/>
      <c r="L558" s="88">
        <f>SUM(F558:K558)</f>
        <v>35472.1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991029.8</v>
      </c>
      <c r="G559" s="108">
        <f t="shared" si="43"/>
        <v>472302.8</v>
      </c>
      <c r="H559" s="108">
        <f t="shared" si="43"/>
        <v>222740.78</v>
      </c>
      <c r="I559" s="108">
        <f t="shared" si="43"/>
        <v>50924.47</v>
      </c>
      <c r="J559" s="108">
        <f t="shared" si="43"/>
        <v>0</v>
      </c>
      <c r="K559" s="108">
        <f t="shared" si="43"/>
        <v>4508.34</v>
      </c>
      <c r="L559" s="89">
        <f t="shared" si="43"/>
        <v>1741506.1900000002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59225.7</v>
      </c>
      <c r="G561" s="18">
        <v>24778.42</v>
      </c>
      <c r="H561" s="18">
        <v>2584.92</v>
      </c>
      <c r="I561" s="18">
        <v>910.85</v>
      </c>
      <c r="J561" s="18"/>
      <c r="K561" s="18"/>
      <c r="L561" s="88">
        <f>SUM(F561:K561)</f>
        <v>87499.89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v>27511.48</v>
      </c>
      <c r="G562" s="18">
        <v>11510.06</v>
      </c>
      <c r="H562" s="18">
        <v>1200.74</v>
      </c>
      <c r="I562" s="18">
        <v>423.11</v>
      </c>
      <c r="J562" s="18"/>
      <c r="K562" s="18"/>
      <c r="L562" s="88">
        <f>SUM(F562:K562)</f>
        <v>40645.39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v>61645.2</v>
      </c>
      <c r="G563" s="18">
        <v>25790.68</v>
      </c>
      <c r="H563" s="18">
        <v>2690.52</v>
      </c>
      <c r="I563" s="18">
        <v>948.07</v>
      </c>
      <c r="J563" s="18"/>
      <c r="K563" s="18"/>
      <c r="L563" s="88">
        <f>SUM(F563:K563)</f>
        <v>91074.470000000016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148382.38</v>
      </c>
      <c r="G564" s="89">
        <f t="shared" si="44"/>
        <v>62079.159999999996</v>
      </c>
      <c r="H564" s="89">
        <f t="shared" si="44"/>
        <v>6476.18</v>
      </c>
      <c r="I564" s="89">
        <f t="shared" si="44"/>
        <v>2282.0300000000002</v>
      </c>
      <c r="J564" s="89">
        <f t="shared" si="44"/>
        <v>0</v>
      </c>
      <c r="K564" s="89">
        <f t="shared" si="44"/>
        <v>0</v>
      </c>
      <c r="L564" s="89">
        <f t="shared" si="44"/>
        <v>219219.75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>
        <v>8360</v>
      </c>
      <c r="I566" s="18">
        <v>2032.25</v>
      </c>
      <c r="J566" s="18"/>
      <c r="K566" s="18"/>
      <c r="L566" s="88">
        <f>SUM(F566:K566)</f>
        <v>10392.25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>
        <v>5882.5</v>
      </c>
      <c r="I567" s="18"/>
      <c r="J567" s="18"/>
      <c r="K567" s="18"/>
      <c r="L567" s="88">
        <f>SUM(F567:K567)</f>
        <v>5882.5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>
        <v>15218.77</v>
      </c>
      <c r="G568" s="18">
        <v>1551.25</v>
      </c>
      <c r="H568" s="18">
        <v>8340.57</v>
      </c>
      <c r="I568" s="18">
        <v>10474.32</v>
      </c>
      <c r="J568" s="18"/>
      <c r="K568" s="18"/>
      <c r="L568" s="88">
        <f>SUM(F568:K568)</f>
        <v>35584.910000000003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15218.77</v>
      </c>
      <c r="G569" s="193">
        <f t="shared" ref="G569:L569" si="45">SUM(G566:G568)</f>
        <v>1551.25</v>
      </c>
      <c r="H569" s="193">
        <f t="shared" si="45"/>
        <v>22583.07</v>
      </c>
      <c r="I569" s="193">
        <f t="shared" si="45"/>
        <v>12506.57</v>
      </c>
      <c r="J569" s="193">
        <f t="shared" si="45"/>
        <v>0</v>
      </c>
      <c r="K569" s="193">
        <f t="shared" si="45"/>
        <v>0</v>
      </c>
      <c r="L569" s="193">
        <f t="shared" si="45"/>
        <v>51859.66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1154630.9500000002</v>
      </c>
      <c r="G570" s="89">
        <f t="shared" ref="G570:L570" si="46">G559+G564+G569</f>
        <v>535933.21</v>
      </c>
      <c r="H570" s="89">
        <f t="shared" si="46"/>
        <v>251800.03</v>
      </c>
      <c r="I570" s="89">
        <f t="shared" si="46"/>
        <v>65713.070000000007</v>
      </c>
      <c r="J570" s="89">
        <f t="shared" si="46"/>
        <v>0</v>
      </c>
      <c r="K570" s="89">
        <f t="shared" si="46"/>
        <v>4508.34</v>
      </c>
      <c r="L570" s="89">
        <f t="shared" si="46"/>
        <v>2012585.6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16682.5</v>
      </c>
      <c r="G578" s="18"/>
      <c r="H578" s="18"/>
      <c r="I578" s="87">
        <f t="shared" si="47"/>
        <v>16682.5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>
        <v>12200</v>
      </c>
      <c r="I581" s="87">
        <f t="shared" si="47"/>
        <v>12200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>
        <v>181534.67</v>
      </c>
      <c r="G582" s="18">
        <v>190748.89</v>
      </c>
      <c r="H582" s="18">
        <v>893973.81</v>
      </c>
      <c r="I582" s="87">
        <f t="shared" si="47"/>
        <v>1266257.3700000001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251647.37</v>
      </c>
      <c r="I590" s="18">
        <v>116895.06</v>
      </c>
      <c r="J590" s="18">
        <v>261927.74</v>
      </c>
      <c r="K590" s="104">
        <f t="shared" ref="K590:K596" si="48">SUM(H590:J590)</f>
        <v>630470.16999999993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40952.01</v>
      </c>
      <c r="I591" s="18">
        <v>19023</v>
      </c>
      <c r="J591" s="18">
        <v>42624.99</v>
      </c>
      <c r="K591" s="104">
        <f t="shared" si="48"/>
        <v>102600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15407.87</v>
      </c>
      <c r="J593" s="18">
        <v>67690.67</v>
      </c>
      <c r="K593" s="104">
        <f t="shared" si="48"/>
        <v>83098.539999999994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33869.5</v>
      </c>
      <c r="I594" s="18">
        <v>18295.53</v>
      </c>
      <c r="J594" s="18">
        <v>15309.88</v>
      </c>
      <c r="K594" s="104">
        <f t="shared" si="48"/>
        <v>67474.91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326468.88</v>
      </c>
      <c r="I597" s="108">
        <f>SUM(I590:I596)</f>
        <v>169621.46</v>
      </c>
      <c r="J597" s="108">
        <f>SUM(J590:J596)</f>
        <v>387553.27999999997</v>
      </c>
      <c r="K597" s="108">
        <f>SUM(K590:K596)</f>
        <v>883643.62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>
        <v>86207.53</v>
      </c>
      <c r="I602" s="18">
        <v>3812.55</v>
      </c>
      <c r="J602" s="18">
        <v>8542.82</v>
      </c>
      <c r="K602" s="104">
        <f>SUM(H602:J602)</f>
        <v>98562.9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92967.32</v>
      </c>
      <c r="I603" s="18">
        <v>94064.62</v>
      </c>
      <c r="J603" s="18">
        <v>120725.75</v>
      </c>
      <c r="K603" s="104">
        <f>SUM(H603:J603)</f>
        <v>307757.69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179174.85</v>
      </c>
      <c r="I604" s="108">
        <f>SUM(I601:I603)</f>
        <v>97877.17</v>
      </c>
      <c r="J604" s="108">
        <f>SUM(J601:J603)</f>
        <v>129268.57</v>
      </c>
      <c r="K604" s="108">
        <f>SUM(K601:K603)</f>
        <v>406320.58999999997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14100</v>
      </c>
      <c r="G612" s="18">
        <v>2335.35</v>
      </c>
      <c r="H612" s="18"/>
      <c r="I612" s="18"/>
      <c r="J612" s="18"/>
      <c r="K612" s="18"/>
      <c r="L612" s="88">
        <f>SUM(F612:K612)</f>
        <v>16435.349999999999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14100</v>
      </c>
      <c r="G613" s="108">
        <f t="shared" si="49"/>
        <v>2335.35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16435.349999999999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0</v>
      </c>
      <c r="H616" s="109">
        <f>SUM(F51)</f>
        <v>0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71979.23</v>
      </c>
      <c r="H617" s="109">
        <f>SUM(G51)</f>
        <v>71979.23000000001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549908.92000000004</v>
      </c>
      <c r="H618" s="109">
        <f>SUM(H51)</f>
        <v>549908.92000000004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5143245.8600000003</v>
      </c>
      <c r="H620" s="109">
        <f>SUM(J51)</f>
        <v>5143245.8600000003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0</v>
      </c>
      <c r="H621" s="109">
        <f>F475</f>
        <v>0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26.44</v>
      </c>
      <c r="H622" s="109">
        <f>G475</f>
        <v>26.440000000060536</v>
      </c>
      <c r="I622" s="121" t="s">
        <v>102</v>
      </c>
      <c r="J622" s="109">
        <f t="shared" si="50"/>
        <v>-6.0534688373081735E-11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549758.92000000004</v>
      </c>
      <c r="H623" s="109">
        <f>H475</f>
        <v>549758.91999999993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5143245.8600000003</v>
      </c>
      <c r="H625" s="109">
        <f>J475</f>
        <v>5143245.8600000003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38301803.229999997</v>
      </c>
      <c r="H626" s="104">
        <f>SUM(F467)</f>
        <v>38301803.229999997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780230.31</v>
      </c>
      <c r="H627" s="104">
        <f>SUM(G467)</f>
        <v>780230.31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3956527.8800000004</v>
      </c>
      <c r="H628" s="104">
        <f>SUM(H467)</f>
        <v>3956527.88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594575.42000000004</v>
      </c>
      <c r="H630" s="104">
        <f>SUM(J467)</f>
        <v>594575.42000000004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38301803.229999997</v>
      </c>
      <c r="H631" s="104">
        <f>SUM(F471)</f>
        <v>38301803.229999997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3923483.37</v>
      </c>
      <c r="H632" s="104">
        <f>SUM(H471)</f>
        <v>3923483.37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375753.61</v>
      </c>
      <c r="H633" s="104">
        <f>I368</f>
        <v>375753.61000000004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840179.26</v>
      </c>
      <c r="H634" s="104">
        <f>SUM(G471)</f>
        <v>840179.26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594575.42000000004</v>
      </c>
      <c r="H636" s="164">
        <f>SUM(J467)</f>
        <v>594575.42000000004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113302.43</v>
      </c>
      <c r="H637" s="164">
        <f>SUM(J471)</f>
        <v>113302.43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5143245.8600000003</v>
      </c>
      <c r="H640" s="104">
        <f>SUM(H460)</f>
        <v>5143245.8600000003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5143245.8600000003</v>
      </c>
      <c r="H641" s="104">
        <f>SUM(I460)</f>
        <v>5143245.8600000003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548884.56000000006</v>
      </c>
      <c r="H643" s="104">
        <f>H407</f>
        <v>548884.56000000006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594575.42000000004</v>
      </c>
      <c r="H645" s="104">
        <f>L407</f>
        <v>594575.42000000004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883643.62</v>
      </c>
      <c r="H646" s="104">
        <f>L207+L225+L243</f>
        <v>883643.62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406320.58999999997</v>
      </c>
      <c r="H647" s="104">
        <f>(J256+J337)-(J254+J335)</f>
        <v>406320.59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326468.88</v>
      </c>
      <c r="H648" s="104">
        <f>H597</f>
        <v>326468.88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169621.46</v>
      </c>
      <c r="H649" s="104">
        <f>I597</f>
        <v>169621.46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387553.28000000003</v>
      </c>
      <c r="H650" s="104">
        <f>J597</f>
        <v>387553.27999999997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21442.16</v>
      </c>
      <c r="H651" s="104">
        <f>K262+K344</f>
        <v>21442.16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754027</v>
      </c>
      <c r="H652" s="104">
        <f>K263</f>
        <v>754027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16527654.890000001</v>
      </c>
      <c r="G659" s="19">
        <f>(L228+L308+L358)</f>
        <v>8188769.7700000014</v>
      </c>
      <c r="H659" s="19">
        <f>(L246+L327+L359)</f>
        <v>17573572.039999999</v>
      </c>
      <c r="I659" s="19">
        <f>SUM(F659:H659)</f>
        <v>42289996.700000003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163540.53756016877</v>
      </c>
      <c r="G660" s="19">
        <f>(L358/IF(SUM(L357:L359)=0,1,SUM(L357:L359))*(SUM(G96:G109)))</f>
        <v>82073.211915488137</v>
      </c>
      <c r="H660" s="19">
        <f>(L359/IF(SUM(L357:L359)=0,1,SUM(L357:L359))*(SUM(G96:G109)))</f>
        <v>158923.17052434312</v>
      </c>
      <c r="I660" s="19">
        <f>SUM(F660:H660)</f>
        <v>404536.92000000004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331225.46000000002</v>
      </c>
      <c r="G661" s="19">
        <f>(L225+L305)-(J225+J305)</f>
        <v>171830.97999999998</v>
      </c>
      <c r="H661" s="19">
        <f>(L243+L324)-(J243+J324)</f>
        <v>396257.49000000005</v>
      </c>
      <c r="I661" s="19">
        <f>SUM(F661:H661)</f>
        <v>899313.93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377392.02</v>
      </c>
      <c r="G662" s="199">
        <f>SUM(G574:G586)+SUM(I601:I603)+L611</f>
        <v>288626.06</v>
      </c>
      <c r="H662" s="199">
        <f>SUM(H574:H586)+SUM(J601:J603)+L612</f>
        <v>1051877.7300000002</v>
      </c>
      <c r="I662" s="19">
        <f>SUM(F662:H662)</f>
        <v>1717895.8100000003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15655496.872439831</v>
      </c>
      <c r="G663" s="19">
        <f>G659-SUM(G660:G662)</f>
        <v>7646239.518084513</v>
      </c>
      <c r="H663" s="19">
        <f>H659-SUM(H660:H662)</f>
        <v>15966513.649475656</v>
      </c>
      <c r="I663" s="19">
        <f>I659-SUM(I660:I662)</f>
        <v>39268250.040000007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1061.1400000000001</v>
      </c>
      <c r="G664" s="248">
        <v>492.92</v>
      </c>
      <c r="H664" s="248">
        <v>1104.49</v>
      </c>
      <c r="I664" s="19">
        <f>SUM(F664:H664)</f>
        <v>2658.55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14753.47</v>
      </c>
      <c r="G666" s="19">
        <f>ROUND(G663/G664,2)</f>
        <v>15512.13</v>
      </c>
      <c r="H666" s="19">
        <f>ROUND(H663/H664,2)</f>
        <v>14456.01</v>
      </c>
      <c r="I666" s="19">
        <f>ROUND(I663/I664,2)</f>
        <v>14770.55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-6.86</v>
      </c>
      <c r="I669" s="19">
        <f>SUM(F669:H669)</f>
        <v>-6.86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14753.47</v>
      </c>
      <c r="G671" s="19">
        <f>ROUND((G663+G668)/(G664+G669),2)</f>
        <v>15512.13</v>
      </c>
      <c r="H671" s="19">
        <f>ROUND((H663+H668)/(H664+H669),2)</f>
        <v>14546.35</v>
      </c>
      <c r="I671" s="19">
        <f>ROUND((I663+I668)/(I664+I669),2)</f>
        <v>14808.76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zoomScale="120" zoomScaleNormal="120" workbookViewId="0">
      <selection activeCell="C39" sqref="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Portsmouth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11557868.270000001</v>
      </c>
      <c r="C9" s="229">
        <f>'DOE25'!G196+'DOE25'!G214+'DOE25'!G232+'DOE25'!G275+'DOE25'!G294+'DOE25'!G313</f>
        <v>5979550.0600000005</v>
      </c>
    </row>
    <row r="10" spans="1:3" x14ac:dyDescent="0.2">
      <c r="A10" t="s">
        <v>779</v>
      </c>
      <c r="B10" s="240">
        <v>10822217.800000001</v>
      </c>
      <c r="C10" s="240">
        <v>5598955.7599999998</v>
      </c>
    </row>
    <row r="11" spans="1:3" x14ac:dyDescent="0.2">
      <c r="A11" t="s">
        <v>780</v>
      </c>
      <c r="B11" s="240">
        <v>408002.63</v>
      </c>
      <c r="C11" s="240">
        <v>211082.92</v>
      </c>
    </row>
    <row r="12" spans="1:3" x14ac:dyDescent="0.2">
      <c r="A12" t="s">
        <v>781</v>
      </c>
      <c r="B12" s="240">
        <v>327648.44</v>
      </c>
      <c r="C12" s="240">
        <v>169511.38</v>
      </c>
    </row>
    <row r="13" spans="1:3" x14ac:dyDescent="0.2">
      <c r="A13" t="str">
        <f>IF(B9=B13,IF(C9=C13,"Check Total OK","Check Total Error"),"Check Total Error")</f>
        <v>Check Total Error</v>
      </c>
      <c r="B13" s="231">
        <f>SUM(B10:B12)</f>
        <v>11557868.870000001</v>
      </c>
      <c r="C13" s="231">
        <f>SUM(C10:C12)</f>
        <v>5979550.0599999996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4673094.49</v>
      </c>
      <c r="C18" s="229">
        <f>'DOE25'!G197+'DOE25'!G215+'DOE25'!G233+'DOE25'!G276+'DOE25'!G295+'DOE25'!G314</f>
        <v>1459393.56</v>
      </c>
    </row>
    <row r="19" spans="1:3" x14ac:dyDescent="0.2">
      <c r="A19" t="s">
        <v>779</v>
      </c>
      <c r="B19" s="240">
        <v>2999249.24</v>
      </c>
      <c r="C19" s="240">
        <v>936656.65</v>
      </c>
    </row>
    <row r="20" spans="1:3" x14ac:dyDescent="0.2">
      <c r="A20" t="s">
        <v>780</v>
      </c>
      <c r="B20" s="240">
        <v>1511380.1</v>
      </c>
      <c r="C20" s="240">
        <v>471999.53</v>
      </c>
    </row>
    <row r="21" spans="1:3" x14ac:dyDescent="0.2">
      <c r="A21" t="s">
        <v>781</v>
      </c>
      <c r="B21" s="240">
        <v>162465.15</v>
      </c>
      <c r="C21" s="240">
        <v>50737.38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4673094.49</v>
      </c>
      <c r="C22" s="231">
        <f>SUM(C19:C21)</f>
        <v>1459393.56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669816.3600000001</v>
      </c>
      <c r="C27" s="234">
        <f>'DOE25'!G198+'DOE25'!G216+'DOE25'!G234+'DOE25'!G277+'DOE25'!G296+'DOE25'!G315</f>
        <v>323449.01999999996</v>
      </c>
    </row>
    <row r="28" spans="1:3" x14ac:dyDescent="0.2">
      <c r="A28" t="s">
        <v>779</v>
      </c>
      <c r="B28" s="240">
        <v>653921.36</v>
      </c>
      <c r="C28" s="240">
        <v>315773.45</v>
      </c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>
        <v>15895</v>
      </c>
      <c r="C30" s="240">
        <v>7675.57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669816.36</v>
      </c>
      <c r="C31" s="231">
        <f>SUM(C28:C30)</f>
        <v>323449.02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343538.44</v>
      </c>
      <c r="C36" s="235">
        <f>'DOE25'!G199+'DOE25'!G217+'DOE25'!G235+'DOE25'!G278+'DOE25'!G297+'DOE25'!G316</f>
        <v>46804.41</v>
      </c>
    </row>
    <row r="37" spans="1:3" x14ac:dyDescent="0.2">
      <c r="A37" t="s">
        <v>779</v>
      </c>
      <c r="B37" s="240">
        <v>135299.26999999999</v>
      </c>
      <c r="C37" s="240">
        <v>28074.799999999999</v>
      </c>
    </row>
    <row r="38" spans="1:3" x14ac:dyDescent="0.2">
      <c r="A38" t="s">
        <v>780</v>
      </c>
      <c r="B38" s="240">
        <v>21368.240000000002</v>
      </c>
      <c r="C38" s="240">
        <v>4433.97</v>
      </c>
    </row>
    <row r="39" spans="1:3" x14ac:dyDescent="0.2">
      <c r="A39" t="s">
        <v>781</v>
      </c>
      <c r="B39" s="240">
        <v>186870.93</v>
      </c>
      <c r="C39" s="240">
        <v>14295.64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343538.43999999994</v>
      </c>
      <c r="C40" s="231">
        <f>SUM(C37:C39)</f>
        <v>46804.41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Portsmouth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23813202.970000003</v>
      </c>
      <c r="D5" s="20">
        <f>SUM('DOE25'!L196:L199)+SUM('DOE25'!L214:L217)+SUM('DOE25'!L232:L235)-F5-G5</f>
        <v>23721101.470000003</v>
      </c>
      <c r="E5" s="243"/>
      <c r="F5" s="255">
        <f>SUM('DOE25'!J196:J199)+SUM('DOE25'!J214:J217)+SUM('DOE25'!J232:J235)</f>
        <v>89306.5</v>
      </c>
      <c r="G5" s="53">
        <f>SUM('DOE25'!K196:K199)+SUM('DOE25'!K214:K217)+SUM('DOE25'!K232:K235)</f>
        <v>2795</v>
      </c>
      <c r="H5" s="259"/>
    </row>
    <row r="6" spans="1:9" x14ac:dyDescent="0.2">
      <c r="A6" s="32">
        <v>2100</v>
      </c>
      <c r="B6" t="s">
        <v>801</v>
      </c>
      <c r="C6" s="245">
        <f t="shared" si="0"/>
        <v>4239283.2600000007</v>
      </c>
      <c r="D6" s="20">
        <f>'DOE25'!L201+'DOE25'!L219+'DOE25'!L237-F6-G6</f>
        <v>4223255.03</v>
      </c>
      <c r="E6" s="243"/>
      <c r="F6" s="255">
        <f>'DOE25'!J201+'DOE25'!J219+'DOE25'!J237</f>
        <v>0</v>
      </c>
      <c r="G6" s="53">
        <f>'DOE25'!K201+'DOE25'!K219+'DOE25'!K237</f>
        <v>16028.23</v>
      </c>
      <c r="H6" s="259"/>
    </row>
    <row r="7" spans="1:9" x14ac:dyDescent="0.2">
      <c r="A7" s="32">
        <v>2200</v>
      </c>
      <c r="B7" t="s">
        <v>834</v>
      </c>
      <c r="C7" s="245">
        <f t="shared" si="0"/>
        <v>734299.28</v>
      </c>
      <c r="D7" s="20">
        <f>'DOE25'!L202+'DOE25'!L220+'DOE25'!L238-F7-G7</f>
        <v>555022.53</v>
      </c>
      <c r="E7" s="243"/>
      <c r="F7" s="255">
        <f>'DOE25'!J202+'DOE25'!J220+'DOE25'!J238</f>
        <v>179016.75</v>
      </c>
      <c r="G7" s="53">
        <f>'DOE25'!K202+'DOE25'!K220+'DOE25'!K238</f>
        <v>260</v>
      </c>
      <c r="H7" s="259"/>
    </row>
    <row r="8" spans="1:9" x14ac:dyDescent="0.2">
      <c r="A8" s="32">
        <v>2300</v>
      </c>
      <c r="B8" t="s">
        <v>802</v>
      </c>
      <c r="C8" s="245">
        <f t="shared" si="0"/>
        <v>605637.64000000036</v>
      </c>
      <c r="D8" s="243"/>
      <c r="E8" s="20">
        <f>'DOE25'!L203+'DOE25'!L221+'DOE25'!L239-F8-G8-D9-D11</f>
        <v>550393.18000000028</v>
      </c>
      <c r="F8" s="255">
        <f>'DOE25'!J203+'DOE25'!J221+'DOE25'!J239</f>
        <v>1153.92</v>
      </c>
      <c r="G8" s="53">
        <f>'DOE25'!K203+'DOE25'!K221+'DOE25'!K239</f>
        <v>54090.539999999994</v>
      </c>
      <c r="H8" s="259"/>
    </row>
    <row r="9" spans="1:9" x14ac:dyDescent="0.2">
      <c r="A9" s="32">
        <v>2310</v>
      </c>
      <c r="B9" t="s">
        <v>818</v>
      </c>
      <c r="C9" s="245">
        <f t="shared" si="0"/>
        <v>38005.440000000002</v>
      </c>
      <c r="D9" s="244">
        <v>38005.440000000002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465259.62</v>
      </c>
      <c r="D11" s="244">
        <v>465259.62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1995212.1400000001</v>
      </c>
      <c r="D12" s="20">
        <f>'DOE25'!L204+'DOE25'!L222+'DOE25'!L240-F12-G12</f>
        <v>1971278.1400000001</v>
      </c>
      <c r="E12" s="243"/>
      <c r="F12" s="255">
        <f>'DOE25'!J204+'DOE25'!J222+'DOE25'!J240</f>
        <v>0</v>
      </c>
      <c r="G12" s="53">
        <f>'DOE25'!K204+'DOE25'!K222+'DOE25'!K240</f>
        <v>23934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535463.05999999994</v>
      </c>
      <c r="D13" s="243"/>
      <c r="E13" s="20">
        <f>'DOE25'!L205+'DOE25'!L223+'DOE25'!L241-F13-G13</f>
        <v>535363.06999999995</v>
      </c>
      <c r="F13" s="255">
        <f>'DOE25'!J205+'DOE25'!J223+'DOE25'!J241</f>
        <v>0</v>
      </c>
      <c r="G13" s="53">
        <f>'DOE25'!K205+'DOE25'!K223+'DOE25'!K241</f>
        <v>99.99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3482638.6100000003</v>
      </c>
      <c r="D14" s="20">
        <f>'DOE25'!L206+'DOE25'!L224+'DOE25'!L242-F14-G14</f>
        <v>3380382.7100000004</v>
      </c>
      <c r="E14" s="243"/>
      <c r="F14" s="255">
        <f>'DOE25'!J206+'DOE25'!J224+'DOE25'!J242</f>
        <v>98562.9</v>
      </c>
      <c r="G14" s="53">
        <f>'DOE25'!K206+'DOE25'!K224+'DOE25'!K242</f>
        <v>3693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883643.62</v>
      </c>
      <c r="D15" s="20">
        <f>'DOE25'!L207+'DOE25'!L225+'DOE25'!L243-F15-G15</f>
        <v>883643.62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733688.42999999993</v>
      </c>
      <c r="D16" s="243"/>
      <c r="E16" s="20">
        <f>'DOE25'!L208+'DOE25'!L226+'DOE25'!L244-F16-G16</f>
        <v>700349.66999999993</v>
      </c>
      <c r="F16" s="255">
        <f>'DOE25'!J208+'DOE25'!J226+'DOE25'!J244</f>
        <v>31338.75</v>
      </c>
      <c r="G16" s="53">
        <f>'DOE25'!K208+'DOE25'!K226+'DOE25'!K244</f>
        <v>2000.0099999999998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'DOE25'!L259+'DOE25'!L260+'DOE25'!L340+'DOE25'!L341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495044.95999999996</v>
      </c>
      <c r="D29" s="20">
        <f>'DOE25'!L357+'DOE25'!L358+'DOE25'!L359-'DOE25'!I366-F29-G29</f>
        <v>495044.95999999996</v>
      </c>
      <c r="E29" s="243"/>
      <c r="F29" s="255">
        <f>'DOE25'!J357+'DOE25'!J358+'DOE25'!J359</f>
        <v>0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3923483.37</v>
      </c>
      <c r="D31" s="20">
        <f>'DOE25'!L289+'DOE25'!L308+'DOE25'!L327+'DOE25'!L332+'DOE25'!L333+'DOE25'!L334-F31-G31</f>
        <v>3848060.7</v>
      </c>
      <c r="E31" s="243"/>
      <c r="F31" s="255">
        <f>'DOE25'!J289+'DOE25'!J308+'DOE25'!J327+'DOE25'!J332+'DOE25'!J333+'DOE25'!J334</f>
        <v>6941.77</v>
      </c>
      <c r="G31" s="53">
        <f>'DOE25'!K289+'DOE25'!K308+'DOE25'!K327+'DOE25'!K332+'DOE25'!K333+'DOE25'!K334</f>
        <v>68480.899999999994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39581054.220000006</v>
      </c>
      <c r="E33" s="246">
        <f>SUM(E5:E31)</f>
        <v>1786105.9200000002</v>
      </c>
      <c r="F33" s="246">
        <f>SUM(F5:F31)</f>
        <v>406320.58999999997</v>
      </c>
      <c r="G33" s="246">
        <f>SUM(G5:G31)</f>
        <v>171381.66999999998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1786105.9200000002</v>
      </c>
      <c r="E35" s="249"/>
    </row>
    <row r="36" spans="2:8" ht="12" thickTop="1" x14ac:dyDescent="0.2">
      <c r="B36" t="s">
        <v>815</v>
      </c>
      <c r="D36" s="20">
        <f>D33</f>
        <v>39581054.220000006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N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87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Portsmouth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0</v>
      </c>
      <c r="D8" s="95">
        <f>'DOE25'!G9</f>
        <v>1437.41</v>
      </c>
      <c r="E8" s="95">
        <f>'DOE25'!H9</f>
        <v>0</v>
      </c>
      <c r="F8" s="95">
        <f>'DOE25'!I9</f>
        <v>0</v>
      </c>
      <c r="G8" s="95">
        <f>'DOE25'!J9</f>
        <v>48030.86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21442.16</v>
      </c>
      <c r="E11" s="95">
        <f>'DOE25'!H12</f>
        <v>65010.86</v>
      </c>
      <c r="F11" s="95">
        <f>'DOE25'!I12</f>
        <v>0</v>
      </c>
      <c r="G11" s="95">
        <f>'DOE25'!J12</f>
        <v>5095215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29395.94</v>
      </c>
      <c r="E12" s="95">
        <f>'DOE25'!H13</f>
        <v>484002.81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895.25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19703.72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0</v>
      </c>
      <c r="D18" s="41">
        <f>SUM(D8:D17)</f>
        <v>71979.23</v>
      </c>
      <c r="E18" s="41">
        <f>SUM(E8:E17)</f>
        <v>549908.92000000004</v>
      </c>
      <c r="F18" s="41">
        <f>SUM(F8:F17)</f>
        <v>0</v>
      </c>
      <c r="G18" s="41">
        <f>SUM(G8:G17)</f>
        <v>5143245.8600000003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150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5666.46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28486.73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37799.599999999999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0</v>
      </c>
      <c r="D31" s="41">
        <f>SUM(D21:D30)</f>
        <v>71952.790000000008</v>
      </c>
      <c r="E31" s="41">
        <f>SUM(E21:E30)</f>
        <v>150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5143245.8600000003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26.44</v>
      </c>
      <c r="E46" s="95">
        <f>'DOE25'!H47</f>
        <v>549758.92000000004</v>
      </c>
      <c r="F46" s="95">
        <f>'DOE25'!I47</f>
        <v>0</v>
      </c>
      <c r="G46" s="95">
        <f>'DOE25'!J47</f>
        <v>0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0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0</v>
      </c>
      <c r="D49" s="41">
        <f>SUM(D34:D48)</f>
        <v>26.44</v>
      </c>
      <c r="E49" s="41">
        <f>SUM(E34:E48)</f>
        <v>549758.92000000004</v>
      </c>
      <c r="F49" s="41">
        <f>SUM(F34:F48)</f>
        <v>0</v>
      </c>
      <c r="G49" s="41">
        <f>SUM(G34:G48)</f>
        <v>5143245.8600000003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0</v>
      </c>
      <c r="D50" s="41">
        <f>D49+D31</f>
        <v>71979.23000000001</v>
      </c>
      <c r="E50" s="41">
        <f>E49+E31</f>
        <v>549908.92000000004</v>
      </c>
      <c r="F50" s="41">
        <f>F49+F31</f>
        <v>0</v>
      </c>
      <c r="G50" s="41">
        <f>G49+G31</f>
        <v>5143245.8600000003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21774308.629999999</v>
      </c>
      <c r="D55" s="95">
        <f>'DOE25'!G59</f>
        <v>0</v>
      </c>
      <c r="E55" s="95">
        <f>'DOE25'!H59</f>
        <v>294439.26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5529973.9500000002</v>
      </c>
      <c r="D56" s="24" t="s">
        <v>289</v>
      </c>
      <c r="E56" s="95">
        <f>'DOE25'!H78</f>
        <v>728254.37000000011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0</v>
      </c>
      <c r="D58" s="95">
        <f>'DOE25'!G95</f>
        <v>21.74</v>
      </c>
      <c r="E58" s="95">
        <f>'DOE25'!H95</f>
        <v>0</v>
      </c>
      <c r="F58" s="95">
        <f>'DOE25'!I95</f>
        <v>0</v>
      </c>
      <c r="G58" s="95">
        <f>'DOE25'!J95</f>
        <v>548884.56000000006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404536.92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22220.699999999997</v>
      </c>
      <c r="D60" s="95">
        <f>SUM('DOE25'!G97:G109)</f>
        <v>0</v>
      </c>
      <c r="E60" s="95">
        <f>SUM('DOE25'!H97:H109)</f>
        <v>154793.09</v>
      </c>
      <c r="F60" s="95">
        <f>SUM('DOE25'!I97:I109)</f>
        <v>0</v>
      </c>
      <c r="G60" s="95">
        <f>SUM('DOE25'!J97:J109)</f>
        <v>45690.86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5552194.6500000004</v>
      </c>
      <c r="D61" s="130">
        <f>SUM(D56:D60)</f>
        <v>404558.66</v>
      </c>
      <c r="E61" s="130">
        <f>SUM(E56:E60)</f>
        <v>883047.46000000008</v>
      </c>
      <c r="F61" s="130">
        <f>SUM(F56:F60)</f>
        <v>0</v>
      </c>
      <c r="G61" s="130">
        <f>SUM(G56:G60)</f>
        <v>594575.42000000004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27326503.280000001</v>
      </c>
      <c r="D62" s="22">
        <f>D55+D61</f>
        <v>404558.66</v>
      </c>
      <c r="E62" s="22">
        <f>E55+E61</f>
        <v>1177486.7200000002</v>
      </c>
      <c r="F62" s="22">
        <f>F55+F61</f>
        <v>0</v>
      </c>
      <c r="G62" s="22">
        <f>G55+G61</f>
        <v>594575.42000000004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0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9361188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9361188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1319095.73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294439.26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8273.65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1613534.99</v>
      </c>
      <c r="D77" s="130">
        <f>SUM(D71:D76)</f>
        <v>8273.65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10974722.99</v>
      </c>
      <c r="D80" s="130">
        <f>SUM(D78:D79)+D77+D69</f>
        <v>8273.65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0</v>
      </c>
      <c r="D87" s="95">
        <f>SUM('DOE25'!G152:G160)</f>
        <v>345955.84000000003</v>
      </c>
      <c r="E87" s="95">
        <f>SUM('DOE25'!H152:H160)</f>
        <v>2025014.1600000001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576.96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576.96</v>
      </c>
      <c r="D90" s="131">
        <f>SUM(D84:D89)</f>
        <v>345955.84000000003</v>
      </c>
      <c r="E90" s="131">
        <f>SUM(E84:E89)</f>
        <v>2025014.1600000001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21442.16</v>
      </c>
      <c r="E95" s="95">
        <f>'DOE25'!H178</f>
        <v>754027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21442.16</v>
      </c>
      <c r="E102" s="86">
        <f>SUM(E92:E101)</f>
        <v>754027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38301803.230000004</v>
      </c>
      <c r="D103" s="86">
        <f>D62+D80+D90+D102</f>
        <v>780230.31</v>
      </c>
      <c r="E103" s="86">
        <f>E62+E80+E90+E102</f>
        <v>3956527.8800000004</v>
      </c>
      <c r="F103" s="86">
        <f>F62+F80+F90+F102</f>
        <v>0</v>
      </c>
      <c r="G103" s="86">
        <f>G62+G80+G102</f>
        <v>594575.42000000004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17822328.609999999</v>
      </c>
      <c r="D108" s="24" t="s">
        <v>289</v>
      </c>
      <c r="E108" s="95">
        <f>('DOE25'!L275)+('DOE25'!L294)+('DOE25'!L313)</f>
        <v>223657.81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4383376.7699999996</v>
      </c>
      <c r="D109" s="24" t="s">
        <v>289</v>
      </c>
      <c r="E109" s="95">
        <f>('DOE25'!L276)+('DOE25'!L295)+('DOE25'!L314)</f>
        <v>2940207.44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1062388.23</v>
      </c>
      <c r="D110" s="24" t="s">
        <v>289</v>
      </c>
      <c r="E110" s="95">
        <f>('DOE25'!L277)+('DOE25'!L296)+('DOE25'!L315)</f>
        <v>31538.969999999998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545109.36</v>
      </c>
      <c r="D111" s="24" t="s">
        <v>289</v>
      </c>
      <c r="E111" s="95">
        <f>+('DOE25'!L278)+('DOE25'!L297)+('DOE25'!L316)</f>
        <v>103601.36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23813202.969999999</v>
      </c>
      <c r="D114" s="86">
        <f>SUM(D108:D113)</f>
        <v>0</v>
      </c>
      <c r="E114" s="86">
        <f>SUM(E108:E113)</f>
        <v>3299005.58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4239283.2600000007</v>
      </c>
      <c r="D117" s="24" t="s">
        <v>289</v>
      </c>
      <c r="E117" s="95">
        <f>+('DOE25'!L280)+('DOE25'!L299)+('DOE25'!L318)</f>
        <v>182183.33000000002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734299.28</v>
      </c>
      <c r="D118" s="24" t="s">
        <v>289</v>
      </c>
      <c r="E118" s="95">
        <f>+('DOE25'!L281)+('DOE25'!L300)+('DOE25'!L319)</f>
        <v>64562.929999999993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1108902.7000000002</v>
      </c>
      <c r="D119" s="24" t="s">
        <v>289</v>
      </c>
      <c r="E119" s="95">
        <f>+('DOE25'!L282)+('DOE25'!L301)+('DOE25'!L320)</f>
        <v>209932.69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1995212.1400000001</v>
      </c>
      <c r="D120" s="24" t="s">
        <v>289</v>
      </c>
      <c r="E120" s="95">
        <f>+('DOE25'!L283)+('DOE25'!L302)+('DOE25'!L321)</f>
        <v>103149.1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535463.05999999994</v>
      </c>
      <c r="D121" s="24" t="s">
        <v>289</v>
      </c>
      <c r="E121" s="95">
        <f>+('DOE25'!L284)+('DOE25'!L303)+('DOE25'!L322)</f>
        <v>1130.55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3482638.6100000003</v>
      </c>
      <c r="D122" s="24" t="s">
        <v>289</v>
      </c>
      <c r="E122" s="95">
        <f>+('DOE25'!L285)+('DOE25'!L304)+('DOE25'!L323)</f>
        <v>47848.880000000005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883643.62</v>
      </c>
      <c r="D123" s="24" t="s">
        <v>289</v>
      </c>
      <c r="E123" s="95">
        <f>+('DOE25'!L286)+('DOE25'!L305)+('DOE25'!L324)</f>
        <v>15670.31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733688.42999999993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840179.26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13713131.1</v>
      </c>
      <c r="D127" s="86">
        <f>SUM(D117:D126)</f>
        <v>840179.26</v>
      </c>
      <c r="E127" s="86">
        <f>SUM(E117:E126)</f>
        <v>624477.79000000015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14902.43</v>
      </c>
    </row>
    <row r="134" spans="1:7" x14ac:dyDescent="0.2">
      <c r="A134" t="s">
        <v>233</v>
      </c>
      <c r="B134" s="32" t="s">
        <v>234</v>
      </c>
      <c r="C134" s="95">
        <f>'DOE25'!L262</f>
        <v>21442.16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754027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594575.42000000004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-594575.42000000004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775469.16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14902.43</v>
      </c>
    </row>
    <row r="144" spans="1:7" ht="12.75" thickTop="1" thickBot="1" x14ac:dyDescent="0.25">
      <c r="A144" s="33" t="s">
        <v>244</v>
      </c>
      <c r="C144" s="86">
        <f>(C114+C127+C143)</f>
        <v>38301803.229999997</v>
      </c>
      <c r="D144" s="86">
        <f>(D114+D127+D143)</f>
        <v>840179.26</v>
      </c>
      <c r="E144" s="86">
        <f>(E114+E127+E143)</f>
        <v>3923483.37</v>
      </c>
      <c r="F144" s="86">
        <f>(F114+F127+F143)</f>
        <v>0</v>
      </c>
      <c r="G144" s="86">
        <f>(G114+G127+G143)</f>
        <v>14902.43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Portsmouth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14753</v>
      </c>
    </row>
    <row r="5" spans="1:4" x14ac:dyDescent="0.2">
      <c r="B5" t="s">
        <v>704</v>
      </c>
      <c r="C5" s="179">
        <f>IF('DOE25'!G664+'DOE25'!G669=0,0,ROUND('DOE25'!G671,0))</f>
        <v>15512</v>
      </c>
    </row>
    <row r="6" spans="1:4" x14ac:dyDescent="0.2">
      <c r="B6" t="s">
        <v>62</v>
      </c>
      <c r="C6" s="179">
        <f>IF('DOE25'!H664+'DOE25'!H669=0,0,ROUND('DOE25'!H671,0))</f>
        <v>14546</v>
      </c>
    </row>
    <row r="7" spans="1:4" x14ac:dyDescent="0.2">
      <c r="B7" t="s">
        <v>705</v>
      </c>
      <c r="C7" s="179">
        <f>IF('DOE25'!I664+'DOE25'!I669=0,0,ROUND('DOE25'!I671,0))</f>
        <v>14809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18045986</v>
      </c>
      <c r="D10" s="182">
        <f>ROUND((C10/$C$28)*100,1)</f>
        <v>43.1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7323584</v>
      </c>
      <c r="D11" s="182">
        <f>ROUND((C11/$C$28)*100,1)</f>
        <v>17.5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1093927</v>
      </c>
      <c r="D12" s="182">
        <f>ROUND((C12/$C$28)*100,1)</f>
        <v>2.6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648711</v>
      </c>
      <c r="D13" s="182">
        <f>ROUND((C13/$C$28)*100,1)</f>
        <v>1.5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4421467</v>
      </c>
      <c r="D15" s="182">
        <f t="shared" ref="D15:D27" si="0">ROUND((C15/$C$28)*100,1)</f>
        <v>10.6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798862</v>
      </c>
      <c r="D16" s="182">
        <f t="shared" si="0"/>
        <v>1.9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2052524</v>
      </c>
      <c r="D17" s="182">
        <f t="shared" si="0"/>
        <v>4.9000000000000004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2098361</v>
      </c>
      <c r="D18" s="182">
        <f t="shared" si="0"/>
        <v>5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536594</v>
      </c>
      <c r="D19" s="182">
        <f t="shared" si="0"/>
        <v>1.3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3530487</v>
      </c>
      <c r="D20" s="182">
        <f t="shared" si="0"/>
        <v>8.4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899314</v>
      </c>
      <c r="D21" s="182">
        <f t="shared" si="0"/>
        <v>2.1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435642.08</v>
      </c>
      <c r="D27" s="182">
        <f t="shared" si="0"/>
        <v>1</v>
      </c>
    </row>
    <row r="28" spans="1:4" x14ac:dyDescent="0.2">
      <c r="B28" s="187" t="s">
        <v>723</v>
      </c>
      <c r="C28" s="180">
        <f>SUM(C10:C27)</f>
        <v>41885459.079999998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41885459.079999998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22068748</v>
      </c>
      <c r="D35" s="182">
        <f t="shared" ref="D35:D40" si="1">ROUND((C35/$C$41)*100,1)</f>
        <v>52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7029839.1599999964</v>
      </c>
      <c r="D36" s="182">
        <f t="shared" si="1"/>
        <v>16.600000000000001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9361188</v>
      </c>
      <c r="D37" s="182">
        <f t="shared" si="1"/>
        <v>22.1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1621809</v>
      </c>
      <c r="D38" s="182">
        <f t="shared" si="1"/>
        <v>3.8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2371547</v>
      </c>
      <c r="D39" s="182">
        <f t="shared" si="1"/>
        <v>5.6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42453131.159999996</v>
      </c>
      <c r="D41" s="184">
        <f>SUM(D35:D40)</f>
        <v>100.09999999999998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Portsmouth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2013-10-10T18:52:43Z</cp:lastPrinted>
  <dcterms:created xsi:type="dcterms:W3CDTF">1997-12-04T19:04:30Z</dcterms:created>
  <dcterms:modified xsi:type="dcterms:W3CDTF">2013-12-05T18:56:40Z</dcterms:modified>
</cp:coreProperties>
</file>