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C10" i="10" s="1"/>
  <c r="L233" i="1"/>
  <c r="C109" i="2" s="1"/>
  <c r="L234" i="1"/>
  <c r="L235" i="1"/>
  <c r="C111" i="2" s="1"/>
  <c r="F6" i="13"/>
  <c r="G6" i="13"/>
  <c r="L201" i="1"/>
  <c r="L219" i="1"/>
  <c r="L237" i="1"/>
  <c r="C15" i="10" s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C123" i="2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G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E119" i="2" s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131" i="2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F111" i="1" s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9" i="10"/>
  <c r="C20" i="10"/>
  <c r="L249" i="1"/>
  <c r="L331" i="1"/>
  <c r="C23" i="10" s="1"/>
  <c r="L253" i="1"/>
  <c r="L267" i="1"/>
  <c r="L268" i="1"/>
  <c r="L348" i="1"/>
  <c r="L349" i="1"/>
  <c r="I664" i="1"/>
  <c r="I669" i="1"/>
  <c r="L210" i="1"/>
  <c r="H660" i="1"/>
  <c r="F661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G551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D18" i="2" s="1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E114" i="2" s="1"/>
  <c r="C110" i="2"/>
  <c r="E110" i="2"/>
  <c r="E111" i="2"/>
  <c r="C112" i="2"/>
  <c r="E112" i="2"/>
  <c r="C113" i="2"/>
  <c r="E113" i="2"/>
  <c r="D114" i="2"/>
  <c r="F114" i="2"/>
  <c r="G114" i="2"/>
  <c r="E117" i="2"/>
  <c r="E118" i="2"/>
  <c r="E120" i="2"/>
  <c r="C121" i="2"/>
  <c r="E121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K256" i="1" s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H337" i="1" s="1"/>
  <c r="H351" i="1" s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J644" i="1" s="1"/>
  <c r="H407" i="1"/>
  <c r="H643" i="1" s="1"/>
  <c r="J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F451" i="1"/>
  <c r="G451" i="1"/>
  <c r="H451" i="1"/>
  <c r="I451" i="1"/>
  <c r="F459" i="1"/>
  <c r="G459" i="1"/>
  <c r="H459" i="1"/>
  <c r="I459" i="1"/>
  <c r="I460" i="1" s="1"/>
  <c r="H641" i="1" s="1"/>
  <c r="F460" i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I544" i="1" s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L569" i="1" s="1"/>
  <c r="F569" i="1"/>
  <c r="G569" i="1"/>
  <c r="H569" i="1"/>
  <c r="I569" i="1"/>
  <c r="I570" i="1" s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H638" i="1"/>
  <c r="G639" i="1"/>
  <c r="H639" i="1"/>
  <c r="G640" i="1"/>
  <c r="H640" i="1"/>
  <c r="G642" i="1"/>
  <c r="H642" i="1"/>
  <c r="G643" i="1"/>
  <c r="G644" i="1"/>
  <c r="G648" i="1"/>
  <c r="J648" i="1" s="1"/>
  <c r="G649" i="1"/>
  <c r="G651" i="1"/>
  <c r="H651" i="1"/>
  <c r="G652" i="1"/>
  <c r="H652" i="1"/>
  <c r="G653" i="1"/>
  <c r="H653" i="1"/>
  <c r="H654" i="1"/>
  <c r="J654" i="1" s="1"/>
  <c r="F191" i="1"/>
  <c r="L255" i="1"/>
  <c r="G159" i="2"/>
  <c r="C18" i="2"/>
  <c r="F31" i="2"/>
  <c r="C26" i="10"/>
  <c r="L327" i="1"/>
  <c r="L350" i="1"/>
  <c r="L289" i="1"/>
  <c r="F659" i="1" s="1"/>
  <c r="A31" i="12"/>
  <c r="C69" i="2"/>
  <c r="D12" i="13"/>
  <c r="C12" i="13" s="1"/>
  <c r="G161" i="2"/>
  <c r="D61" i="2"/>
  <c r="D62" i="2" s="1"/>
  <c r="E49" i="2"/>
  <c r="D18" i="13"/>
  <c r="C18" i="13" s="1"/>
  <c r="D15" i="13"/>
  <c r="C15" i="13" s="1"/>
  <c r="F102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5" i="2"/>
  <c r="E143" i="2"/>
  <c r="G102" i="2"/>
  <c r="E102" i="2"/>
  <c r="C102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J640" i="1"/>
  <c r="J570" i="1"/>
  <c r="K570" i="1"/>
  <c r="L432" i="1"/>
  <c r="L418" i="1"/>
  <c r="D80" i="2"/>
  <c r="I168" i="1"/>
  <c r="H168" i="1"/>
  <c r="E50" i="2"/>
  <c r="J642" i="1"/>
  <c r="H475" i="1"/>
  <c r="H623" i="1" s="1"/>
  <c r="J623" i="1" s="1"/>
  <c r="I475" i="1"/>
  <c r="H624" i="1" s="1"/>
  <c r="J624" i="1" s="1"/>
  <c r="G475" i="1"/>
  <c r="H622" i="1" s="1"/>
  <c r="F168" i="1"/>
  <c r="J139" i="1"/>
  <c r="F570" i="1"/>
  <c r="I551" i="1"/>
  <c r="K548" i="1"/>
  <c r="G22" i="2"/>
  <c r="K597" i="1"/>
  <c r="G646" i="1" s="1"/>
  <c r="K544" i="1"/>
  <c r="J551" i="1"/>
  <c r="H551" i="1"/>
  <c r="C29" i="10"/>
  <c r="H139" i="1"/>
  <c r="L392" i="1"/>
  <c r="F22" i="13"/>
  <c r="J633" i="1"/>
  <c r="H570" i="1"/>
  <c r="L559" i="1"/>
  <c r="J544" i="1"/>
  <c r="G191" i="1"/>
  <c r="H191" i="1"/>
  <c r="F551" i="1"/>
  <c r="C35" i="10"/>
  <c r="D5" i="13"/>
  <c r="C5" i="13" s="1"/>
  <c r="E16" i="13"/>
  <c r="C49" i="2"/>
  <c r="J635" i="1"/>
  <c r="G36" i="2"/>
  <c r="L564" i="1"/>
  <c r="G544" i="1"/>
  <c r="H544" i="1"/>
  <c r="K550" i="1"/>
  <c r="C22" i="13"/>
  <c r="C137" i="2"/>
  <c r="C16" i="13"/>
  <c r="A13" i="12" l="1"/>
  <c r="J639" i="1"/>
  <c r="J638" i="1"/>
  <c r="K549" i="1"/>
  <c r="K551" i="1"/>
  <c r="L523" i="1"/>
  <c r="L544" i="1" s="1"/>
  <c r="K502" i="1"/>
  <c r="K499" i="1"/>
  <c r="J475" i="1"/>
  <c r="H625" i="1" s="1"/>
  <c r="F475" i="1"/>
  <c r="H621" i="1" s="1"/>
  <c r="J621" i="1" s="1"/>
  <c r="J622" i="1"/>
  <c r="G621" i="1"/>
  <c r="J616" i="1"/>
  <c r="C50" i="2"/>
  <c r="I445" i="1"/>
  <c r="G641" i="1" s="1"/>
  <c r="L400" i="1"/>
  <c r="C138" i="2" s="1"/>
  <c r="F660" i="1"/>
  <c r="L361" i="1"/>
  <c r="C27" i="10" s="1"/>
  <c r="D144" i="2"/>
  <c r="C11" i="10"/>
  <c r="E127" i="2"/>
  <c r="G337" i="1"/>
  <c r="G351" i="1" s="1"/>
  <c r="F337" i="1"/>
  <c r="F351" i="1" s="1"/>
  <c r="L308" i="1"/>
  <c r="E144" i="2"/>
  <c r="H25" i="13"/>
  <c r="C25" i="10"/>
  <c r="H646" i="1"/>
  <c r="G650" i="1"/>
  <c r="J650" i="1" s="1"/>
  <c r="J646" i="1"/>
  <c r="H661" i="1"/>
  <c r="I661" i="1" s="1"/>
  <c r="C21" i="10"/>
  <c r="C122" i="2"/>
  <c r="C18" i="10"/>
  <c r="C120" i="2"/>
  <c r="C17" i="10"/>
  <c r="C119" i="2"/>
  <c r="E33" i="13"/>
  <c r="D35" i="13" s="1"/>
  <c r="D7" i="13"/>
  <c r="C7" i="13" s="1"/>
  <c r="C118" i="2"/>
  <c r="C16" i="10"/>
  <c r="C117" i="2"/>
  <c r="G256" i="1"/>
  <c r="G270" i="1" s="1"/>
  <c r="H256" i="1"/>
  <c r="H270" i="1" s="1"/>
  <c r="C13" i="10"/>
  <c r="L228" i="1"/>
  <c r="F256" i="1"/>
  <c r="F270" i="1" s="1"/>
  <c r="I256" i="1"/>
  <c r="I270" i="1" s="1"/>
  <c r="K270" i="1"/>
  <c r="C108" i="2"/>
  <c r="C114" i="2" s="1"/>
  <c r="L246" i="1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G634" i="1"/>
  <c r="J634" i="1" s="1"/>
  <c r="F663" i="1" l="1"/>
  <c r="I660" i="1"/>
  <c r="D31" i="13"/>
  <c r="C31" i="13" s="1"/>
  <c r="G659" i="1"/>
  <c r="G663" i="1" s="1"/>
  <c r="G666" i="1" s="1"/>
  <c r="C25" i="13"/>
  <c r="H33" i="13"/>
  <c r="C127" i="2"/>
  <c r="C144" i="2" s="1"/>
  <c r="C28" i="10"/>
  <c r="D19" i="10" s="1"/>
  <c r="L256" i="1"/>
  <c r="L270" i="1" s="1"/>
  <c r="G631" i="1" s="1"/>
  <c r="J631" i="1" s="1"/>
  <c r="H659" i="1"/>
  <c r="H663" i="1" s="1"/>
  <c r="H671" i="1" s="1"/>
  <c r="C6" i="10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F671" i="1" l="1"/>
  <c r="C4" i="10" s="1"/>
  <c r="F666" i="1"/>
  <c r="D33" i="13"/>
  <c r="D36" i="13" s="1"/>
  <c r="G671" i="1"/>
  <c r="C5" i="10" s="1"/>
  <c r="D27" i="10"/>
  <c r="D23" i="10"/>
  <c r="D18" i="10"/>
  <c r="D22" i="10"/>
  <c r="D24" i="10"/>
  <c r="D11" i="10"/>
  <c r="C30" i="10"/>
  <c r="D10" i="10"/>
  <c r="D21" i="10"/>
  <c r="D26" i="10"/>
  <c r="D12" i="10"/>
  <c r="D13" i="10"/>
  <c r="D17" i="10"/>
  <c r="D16" i="10"/>
  <c r="D20" i="10"/>
  <c r="D15" i="10"/>
  <c r="D25" i="10"/>
  <c r="H666" i="1"/>
  <c r="I659" i="1"/>
  <c r="I663" i="1" s="1"/>
  <c r="I671" i="1" s="1"/>
  <c r="C7" i="10" s="1"/>
  <c r="H655" i="1"/>
  <c r="C41" i="10"/>
  <c r="D38" i="10" s="1"/>
  <c r="D28" i="10" l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<sst xmlns="http://schemas.openxmlformats.org/spreadsheetml/2006/main" count="3946" uniqueCount="912">
  <si>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</si>
  <si>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</si>
  <si>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</si>
  <si>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</si>
  <si>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</si>
  <si>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</si>
  <si>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</si>
  <si>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</si>
  <si>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</si>
  <si>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</si>
  <si>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</si>
  <si>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</si>
  <si>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</si>
  <si>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</si>
  <si>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</si>
  <si>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</si>
  <si>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</si>
  <si>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</si>
  <si>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</si>
  <si>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</si>
  <si>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</si>
  <si>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</si>
  <si>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</si>
  <si>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</si>
  <si>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</si>
  <si>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</si>
  <si>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</si>
  <si>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</si>
  <si>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</si>
  <si>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</si>
  <si>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</si>
  <si>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</si>
  <si>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</si>
  <si>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</si>
  <si>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</si>
  <si>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</si>
  <si>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</si>
  <si>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</si>
  <si>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</si>
  <si>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</si>
  <si>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</si>
  <si>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</si>
  <si>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</si>
  <si>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</si>
  <si>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</si>
  <si>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</si>
  <si>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</si>
  <si>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</si>
  <si>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</si>
  <si>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</si>
  <si>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</si>
  <si>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</si>
  <si>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</si>
  <si>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</si>
  <si>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</si>
  <si>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</si>
  <si>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</si>
  <si>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</si>
  <si>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</si>
  <si>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</si>
  <si>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</si>
  <si>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</si>
  <si>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</si>
  <si>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</si>
  <si>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</si>
  <si>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</si>
  <si>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</si>
  <si>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</si>
  <si>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</si>
  <si>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</si>
  <si>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</si>
  <si>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</si>
  <si>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</si>
  <si>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</si>
  <si>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</si>
  <si>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</si>
  <si>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</si>
  <si>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</si>
  <si>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</si>
  <si>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</si>
  <si>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</si>
  <si>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</si>
  <si>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</si>
  <si>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</si>
  <si>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</si>
  <si>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</si>
  <si>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</si>
  <si>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</si>
  <si>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</si>
  <si>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</si>
  <si>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</si>
  <si>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</si>
  <si>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</si>
  <si>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</si>
  <si>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</si>
  <si>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</si>
  <si>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</si>
  <si>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</si>
  <si>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</si>
  <si>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</si>
  <si>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</si>
  <si>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</si>
  <si>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</si>
  <si>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</si>
  <si>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</si>
  <si>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</si>
  <si>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</si>
  <si>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</si>
  <si>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</si>
  <si>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</si>
  <si>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</si>
  <si>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</si>
  <si>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</si>
  <si>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</si>
  <si>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</si>
  <si>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</si>
  <si>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</si>
  <si>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</si>
  <si>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</si>
  <si>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</si>
  <si>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</si>
  <si>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</si>
  <si>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</si>
  <si>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</si>
  <si>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</si>
  <si>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</si>
  <si>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</si>
  <si>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</si>
  <si>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</si>
  <si>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</si>
  <si>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</si>
  <si>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</si>
  <si>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</si>
  <si>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</si>
  <si>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</si>
  <si>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</si>
  <si>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</si>
  <si>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</si>
  <si>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</si>
  <si>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</si>
  <si>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</si>
  <si>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</si>
  <si>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</si>
  <si>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</si>
  <si>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</si>
  <si>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</si>
  <si>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</si>
  <si>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</si>
  <si>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</si>
  <si>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</si>
  <si>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</si>
  <si>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</si>
  <si>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</si>
  <si>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</si>
  <si>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</si>
  <si>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</si>
  <si>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</si>
  <si>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</si>
  <si>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</si>
  <si>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</si>
  <si>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</si>
  <si>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</si>
  <si>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</si>
  <si>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</si>
  <si>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</si>
  <si>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</si>
  <si>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</si>
  <si>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</si>
  <si>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</si>
  <si>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</si>
  <si>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</si>
  <si>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</si>
  <si>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</si>
  <si>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</si>
  <si>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</si>
  <si>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</si>
  <si>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</si>
  <si>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</si>
  <si>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</si>
  <si>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</si>
  <si>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</si>
  <si>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</si>
  <si>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</si>
  <si>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</si>
  <si>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</si>
  <si>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</si>
  <si>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</si>
  <si>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</si>
  <si>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</si>
  <si>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</si>
  <si>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</si>
  <si>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</si>
  <si>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</si>
  <si>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</si>
  <si>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</si>
  <si>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</si>
  <si>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</si>
  <si>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</si>
  <si>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</si>
  <si>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</si>
  <si>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</si>
  <si>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</si>
  <si>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</si>
  <si>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</si>
  <si>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</si>
  <si>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</si>
  <si>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</si>
  <si>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</si>
  <si>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</si>
  <si>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</si>
  <si>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</si>
  <si>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</si>
  <si>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</si>
  <si>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</si>
  <si>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</si>
  <si>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</si>
  <si>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</si>
  <si>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</si>
  <si>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</si>
  <si>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</si>
  <si>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</si>
  <si>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</si>
  <si>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</si>
  <si>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</si>
  <si>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</si>
  <si>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</si>
  <si>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</si>
  <si>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</si>
  <si>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</si>
  <si>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</si>
  <si>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</si>
  <si>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</si>
  <si>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</si>
  <si>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</si>
  <si>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</si>
  <si>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</si>
  <si>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</si>
  <si>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</si>
  <si>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</si>
  <si>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</si>
  <si>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</si>
  <si>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</si>
  <si>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</si>
  <si>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</si>
  <si>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</si>
  <si>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</si>
  <si>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</si>
  <si>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</si>
  <si>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</si>
  <si>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</si>
  <si>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</si>
  <si>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</si>
  <si>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</si>
  <si>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</si>
  <si>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</si>
  <si>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</si>
  <si>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</si>
  <si>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</si>
  <si>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</si>
  <si>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</si>
  <si>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</si>
  <si>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</si>
  <si>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</si>
  <si>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</si>
  <si>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</si>
  <si>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</si>
  <si>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</si>
  <si>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</si>
  <si>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</si>
  <si>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</si>
  <si>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</si>
  <si>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</si>
  <si>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</si>
  <si>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</si>
  <si>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</si>
  <si>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</si>
  <si>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</si>
  <si>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</si>
  <si>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</si>
  <si>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</si>
  <si>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</si>
  <si>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</si>
  <si>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</si>
  <si>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</si>
  <si>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</si>
  <si>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</si>
  <si>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</si>
  <si>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</si>
  <si>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</si>
  <si>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</si>
  <si>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</si>
  <si>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</si>
  <si>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</si>
  <si>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</si>
  <si>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</si>
  <si>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</si>
  <si>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</si>
  <si>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</si>
  <si>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</si>
  <si>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</si>
  <si>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</si>
  <si>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</si>
  <si>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</si>
  <si>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</si>
  <si>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</si>
  <si>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</si>
  <si>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</si>
  <si>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</si>
  <si>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</si>
  <si>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</si>
  <si>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</si>
  <si>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</si>
  <si>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</si>
  <si>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</si>
  <si>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</si>
  <si>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</si>
  <si>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</si>
  <si>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</si>
  <si>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</si>
  <si>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</si>
  <si>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</si>
  <si>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</si>
  <si>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</si>
  <si>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</si>
  <si>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</si>
  <si>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</si>
  <si>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</si>
  <si>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</si>
  <si>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</si>
  <si>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</si>
  <si>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</si>
  <si>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</si>
  <si>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</si>
  <si>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</si>
  <si>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</si>
  <si>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</si>
  <si>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</si>
  <si>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</si>
  <si>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</si>
  <si>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</si>
  <si>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</si>
  <si>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</si>
  <si>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</si>
  <si>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</si>
  <si>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</si>
  <si>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</si>
  <si>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</si>
  <si>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</si>
  <si>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</si>
  <si>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</si>
  <si>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</si>
  <si>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</si>
  <si>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</si>
  <si>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</si>
  <si>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</si>
  <si>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</si>
  <si>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</si>
  <si>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</si>
  <si>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</si>
  <si>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</si>
  <si>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</si>
  <si>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</si>
  <si>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</si>
  <si>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</si>
  <si>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</si>
  <si>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</si>
  <si>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</si>
  <si>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</si>
  <si>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</si>
  <si>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</si>
  <si>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</si>
  <si>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</si>
  <si>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</si>
  <si>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</si>
  <si>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</si>
  <si>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</si>
  <si>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</si>
  <si>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</si>
  <si>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</si>
  <si>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</si>
  <si>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</si>
  <si>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</si>
  <si>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</si>
  <si>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</si>
  <si>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</si>
  <si>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</si>
  <si>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</si>
  <si>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</si>
  <si>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</si>
  <si>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</si>
  <si>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</si>
  <si>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</si>
  <si>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</si>
  <si>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</si>
  <si>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</si>
  <si>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</si>
  <si>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</si>
  <si>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</si>
  <si>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</si>
  <si>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</si>
  <si>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</si>
  <si>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</si>
  <si>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</si>
  <si>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</si>
  <si>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</si>
  <si>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</si>
  <si>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</si>
  <si>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</si>
  <si>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</si>
  <si>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</si>
  <si>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</si>
  <si>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</si>
  <si>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</si>
  <si>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</si>
  <si>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</si>
  <si>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</si>
  <si>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</si>
  <si>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</si>
  <si>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</si>
  <si>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</si>
  <si>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</si>
  <si>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</si>
  <si>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</si>
  <si>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</si>
  <si>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</si>
  <si>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</si>
  <si>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</si>
  <si>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</si>
  <si>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</si>
  <si>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</si>
  <si>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</si>
  <si>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</si>
  <si>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</si>
  <si>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</si>
  <si>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</si>
  <si>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</si>
  <si>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</si>
  <si>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</si>
  <si>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</si>
  <si>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</si>
  <si>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</si>
  <si>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</si>
  <si>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</si>
  <si>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</si>
  <si>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</si>
  <si>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</si>
  <si>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</si>
  <si>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</si>
  <si>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</si>
  <si>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</si>
  <si>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</si>
  <si>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</si>
  <si>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</si>
  <si>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</si>
  <si>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</si>
  <si>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</si>
  <si>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</si>
  <si>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</si>
  <si>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</si>
  <si>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</si>
  <si>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</si>
  <si>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</si>
  <si>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</si>
  <si>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</si>
  <si>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</si>
  <si>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</si>
  <si>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</si>
  <si>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</si>
  <si>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</si>
  <si>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</si>
  <si>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</si>
  <si>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</si>
  <si>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</si>
  <si>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</si>
  <si>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</si>
  <si>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</si>
  <si>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</si>
  <si>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</si>
  <si>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</si>
  <si>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</si>
  <si>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</si>
  <si>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</si>
  <si>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</si>
  <si>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</si>
  <si>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</si>
  <si>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</si>
  <si>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</si>
  <si>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</si>
  <si>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</si>
  <si>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</si>
  <si>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</si>
  <si>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</si>
  <si>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</si>
  <si>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</si>
  <si>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</si>
  <si>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</si>
  <si>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</si>
  <si>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</si>
  <si>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</si>
  <si>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</si>
  <si>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</si>
  <si>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</si>
  <si>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</si>
  <si>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</si>
  <si>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</si>
  <si>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</si>
  <si>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</si>
  <si>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</si>
  <si>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</si>
  <si>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</si>
  <si>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</si>
  <si>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</si>
  <si>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</si>
  <si>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</si>
  <si>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</si>
  <si>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</si>
  <si>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</si>
  <si>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</si>
  <si>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</si>
  <si>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</si>
  <si>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</si>
  <si>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</si>
  <si>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</si>
  <si>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</si>
  <si>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</si>
  <si>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</si>
  <si>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</si>
  <si>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</si>
  <si>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</si>
  <si>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</si>
  <si>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</si>
  <si>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</si>
  <si>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</si>
  <si>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</si>
  <si>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</si>
  <si>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</si>
  <si>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</si>
  <si>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</si>
  <si>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</si>
  <si>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</si>
  <si>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</si>
  <si>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</si>
  <si>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</si>
  <si>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</si>
  <si>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</si>
  <si>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</si>
  <si>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</si>
  <si>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</si>
  <si>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</si>
  <si>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</si>
  <si>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</si>
  <si>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</si>
  <si>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</si>
  <si>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</si>
  <si>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</si>
  <si>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</si>
  <si>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</si>
  <si>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</si>
  <si>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</si>
  <si>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</si>
  <si>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</si>
  <si>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</si>
  <si>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</si>
  <si>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</si>
  <si>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</si>
  <si>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</si>
  <si>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</si>
  <si>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</si>
  <si>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</si>
  <si>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</si>
  <si>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</si>
  <si>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</si>
  <si>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</si>
  <si>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</si>
  <si>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</si>
  <si>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</si>
  <si>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</si>
  <si>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</si>
  <si>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</si>
  <si>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</si>
  <si>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</si>
  <si>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</si>
  <si>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</si>
  <si>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</si>
  <si>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</si>
  <si>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</si>
  <si>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</si>
  <si>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</si>
  <si>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</si>
  <si>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</si>
  <si>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</si>
  <si>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</si>
  <si>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</si>
  <si>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</si>
  <si>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</si>
  <si>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</si>
  <si>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</si>
  <si>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</si>
  <si>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</si>
  <si>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</si>
  <si>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</si>
  <si>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</si>
  <si>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</si>
  <si>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</si>
  <si>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</si>
  <si>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</si>
  <si>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</si>
  <si>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</si>
  <si>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</si>
  <si>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</si>
  <si>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</si>
  <si>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</si>
  <si>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</si>
  <si>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</si>
  <si>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</si>
  <si>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</si>
  <si>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</si>
  <si>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</si>
  <si>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</si>
  <si>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</si>
  <si>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</si>
  <si>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</si>
  <si>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</si>
  <si>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</si>
  <si>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</si>
  <si>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</si>
  <si>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</si>
  <si>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</si>
  <si>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</si>
  <si>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</si>
  <si>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</si>
  <si>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</si>
  <si>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</si>
  <si>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</si>
  <si>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</si>
  <si>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</si>
  <si>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</si>
  <si>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</si>
  <si>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</si>
  <si>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</si>
  <si>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</si>
  <si>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</si>
  <si>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</si>
  <si>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</si>
  <si>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</si>
  <si>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</si>
  <si>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</si>
  <si>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</si>
  <si>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</si>
  <si>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</si>
  <si>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</si>
  <si>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</si>
  <si>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</si>
  <si>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</si>
  <si>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</si>
  <si>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</si>
  <si>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</si>
  <si>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</si>
  <si>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</si>
  <si>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</si>
  <si>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</si>
  <si>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</si>
  <si>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</si>
  <si>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</si>
  <si>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</si>
  <si>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</si>
  <si>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</si>
  <si>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</si>
  <si>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</si>
  <si>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</si>
  <si>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</si>
  <si>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</si>
  <si>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</si>
  <si>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</si>
  <si>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</si>
  <si>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</si>
  <si>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</si>
  <si>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</si>
  <si>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</si>
  <si>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</si>
  <si>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</si>
  <si>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</si>
  <si>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</si>
  <si>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</si>
  <si>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</si>
  <si>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</si>
  <si>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</si>
  <si>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</si>
  <si>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</si>
  <si>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</si>
  <si>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</si>
  <si>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</si>
  <si>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</si>
  <si>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</si>
  <si>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</si>
  <si>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</si>
  <si>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</si>
  <si>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</si>
  <si>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</si>
  <si>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</si>
  <si>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</si>
  <si>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</si>
  <si>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</si>
  <si>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</si>
  <si>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</si>
  <si>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</si>
  <si>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</si>
  <si>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</si>
  <si>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</si>
  <si>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</si>
  <si>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</si>
  <si>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</si>
  <si>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</si>
  <si>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</si>
  <si>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</si>
  <si>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</si>
  <si>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</si>
  <si>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</si>
  <si>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</si>
  <si>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</si>
  <si>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</si>
  <si>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</si>
  <si>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</si>
  <si>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</si>
  <si>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</si>
  <si>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</si>
  <si>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</si>
  <si>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</si>
  <si>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</si>
  <si>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</si>
  <si>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</si>
  <si>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</si>
  <si>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</si>
  <si>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</si>
  <si>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</si>
  <si>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</si>
  <si>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</si>
  <si>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</si>
  <si>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</si>
  <si>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</si>
  <si>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</si>
  <si>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</si>
  <si>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</si>
  <si>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</si>
  <si>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</si>
  <si>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</si>
  <si>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</si>
  <si>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</si>
  <si>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</si>
  <si>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</si>
  <si>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</si>
  <si>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</si>
  <si>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</si>
  <si>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</si>
  <si>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</si>
  <si>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</si>
  <si>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</si>
  <si>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</si>
  <si>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</si>
  <si>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</si>
  <si>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</si>
  <si>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</si>
  <si>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</si>
  <si>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</si>
  <si>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</si>
  <si>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</si>
  <si>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</si>
  <si>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</si>
  <si>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</si>
  <si>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</si>
  <si>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</si>
  <si>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</si>
  <si>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</si>
  <si>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</si>
  <si>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</si>
  <si>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</si>
  <si>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</si>
  <si>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</si>
  <si>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</si>
  <si>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</si>
  <si>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</si>
  <si>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</si>
  <si>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</si>
  <si>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</si>
  <si>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</si>
  <si>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</si>
  <si>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</si>
  <si>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</si>
  <si>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</si>
  <si>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</si>
  <si>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</si>
  <si>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</si>
  <si>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</si>
  <si>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</si>
  <si>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</si>
  <si>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</si>
  <si>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</si>
  <si>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</si>
  <si>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</si>
  <si>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</si>
  <si>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</si>
  <si>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</si>
  <si>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</si>
  <si>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</si>
  <si>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</si>
  <si>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</si>
  <si>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</si>
  <si>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</si>
  <si>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</si>
  <si>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</si>
  <si>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</si>
  <si>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</si>
  <si>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</si>
  <si>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</si>
  <si>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</si>
  <si>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</si>
  <si>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</si>
  <si>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</si>
  <si>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</si>
  <si>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</si>
  <si>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</si>
  <si>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</si>
  <si>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</si>
  <si>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</si>
  <si>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</si>
  <si>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</si>
  <si>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</si>
  <si>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</si>
  <si>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</si>
  <si>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</si>
  <si>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</si>
  <si>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</si>
  <si>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</si>
  <si>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</si>
  <si>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</si>
  <si>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</si>
  <si>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</si>
  <si>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</si>
  <si>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</si>
  <si>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</si>
  <si>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</si>
  <si>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</si>
  <si>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</si>
  <si>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</si>
  <si>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</si>
  <si>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</si>
  <si>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</si>
  <si>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</si>
  <si>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</si>
  <si>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</si>
  <si>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</si>
  <si>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</si>
  <si>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</si>
  <si>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</si>
  <si>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</si>
  <si>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</si>
  <si>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</si>
  <si>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</si>
  <si>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</si>
  <si>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</si>
  <si>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</si>
  <si>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</si>
  <si>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</si>
  <si>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</si>
  <si>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</si>
  <si>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</si>
  <si>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</si>
  <si>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</si>
  <si>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</si>
  <si>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</si>
  <si>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</si>
  <si>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</si>
  <si>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</si>
  <si>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</si>
  <si>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</si>
  <si>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</si>
  <si>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</si>
  <si>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</si>
  <si>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</si>
  <si>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</si>
  <si>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</si>
  <si>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</si>
  <si>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</si>
  <si>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</si>
  <si>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</si>
  <si>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</si>
  <si>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</si>
  <si>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</si>
  <si>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</si>
  <si>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</si>
  <si>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</si>
  <si>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</si>
  <si>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</si>
  <si>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</si>
  <si>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</si>
  <si>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</si>
  <si>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</si>
  <si>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</si>
  <si>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</si>
  <si>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</si>
  <si>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</si>
  <si>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</si>
  <si>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</si>
  <si>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</si>
  <si>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</si>
  <si>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</si>
  <si>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</si>
  <si>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</si>
  <si>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</si>
  <si>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PROFILE SCHOOL DISTRICT</t>
  </si>
  <si>
    <t>01/07</t>
  </si>
  <si>
    <t>01/27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</si>
</sst>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450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238745.15</v>
      </c>
      <c r="G9" s="18">
        <v>-12731.99</v>
      </c>
      <c r="H9" s="18">
        <v>-8885.64</v>
      </c>
      <c r="I9" s="18"/>
      <c r="J9" s="67">
        <f>SUM(I438)</f>
        <v>281638.26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7747.1</v>
      </c>
      <c r="H13" s="18">
        <v>8885.64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4377.8599999999997</v>
      </c>
      <c r="G14" s="18">
        <v>7143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243123.00999999998</v>
      </c>
      <c r="G19" s="41">
        <f>SUM(G9:G18)</f>
        <v>2158.1100000000006</v>
      </c>
      <c r="H19" s="41">
        <f>SUM(H9:H18)</f>
        <v>0</v>
      </c>
      <c r="I19" s="41">
        <f>SUM(I9:I18)</f>
        <v>0</v>
      </c>
      <c r="J19" s="41">
        <f>SUM(J9:J18)</f>
        <v>281638.26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66193.27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66193.27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281638.26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2158.11</v>
      </c>
      <c r="H48" s="18">
        <v>0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151929.74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176929.74</v>
      </c>
      <c r="G50" s="41">
        <f>SUM(G35:G49)</f>
        <v>2158.11</v>
      </c>
      <c r="H50" s="41">
        <f>SUM(H35:H49)</f>
        <v>0</v>
      </c>
      <c r="I50" s="41">
        <f>SUM(I35:I49)</f>
        <v>0</v>
      </c>
      <c r="J50" s="41">
        <f>SUM(J35:J49)</f>
        <v>281638.26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243123.01</v>
      </c>
      <c r="G51" s="41">
        <f>G50+G32</f>
        <v>2158.11</v>
      </c>
      <c r="H51" s="41">
        <f>H50+H32</f>
        <v>0</v>
      </c>
      <c r="I51" s="41">
        <f>I50+I32</f>
        <v>0</v>
      </c>
      <c r="J51" s="41">
        <f>J50+J32</f>
        <v>281638.26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4022989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4022989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311.37</v>
      </c>
      <c r="G95" s="18"/>
      <c r="H95" s="18"/>
      <c r="I95" s="18"/>
      <c r="J95" s="18">
        <v>205.51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90260.09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25784.23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26095.599999999999</v>
      </c>
      <c r="G110" s="41">
        <f>SUM(G95:G109)</f>
        <v>90260.09</v>
      </c>
      <c r="H110" s="41">
        <f>SUM(H95:H109)</f>
        <v>0</v>
      </c>
      <c r="I110" s="41">
        <f>SUM(I95:I109)</f>
        <v>0</v>
      </c>
      <c r="J110" s="41">
        <f>SUM(J95:J109)</f>
        <v>205.51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4049084.6</v>
      </c>
      <c r="G111" s="41">
        <f>G59+G110</f>
        <v>90260.09</v>
      </c>
      <c r="H111" s="41">
        <f>H59+H78+H93+H110</f>
        <v>0</v>
      </c>
      <c r="I111" s="41">
        <f>I59+I110</f>
        <v>0</v>
      </c>
      <c r="J111" s="41">
        <f>J59+J110</f>
        <v>205.51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670766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935503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1606269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356030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26822.06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2405.12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1149.74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385257.18</v>
      </c>
      <c r="G135" s="41">
        <f>SUM(G122:G134)</f>
        <v>1149.74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1991526.18</v>
      </c>
      <c r="G139" s="41">
        <f>G120+SUM(G135:G136)</f>
        <v>1149.74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30325.29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30325.29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59219.57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9246.2999999999993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44725.46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74322.91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51121.82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51121.82</v>
      </c>
      <c r="G161" s="41">
        <f>SUM(G149:G160)</f>
        <v>44725.46</v>
      </c>
      <c r="H161" s="41">
        <f>SUM(H149:H160)</f>
        <v>142788.78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621.24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51743.06</v>
      </c>
      <c r="G168" s="41">
        <f>G146+G161+SUM(G162:G167)</f>
        <v>44725.46</v>
      </c>
      <c r="H168" s="41">
        <f>H146+H161+SUM(H162:H167)</f>
        <v>173114.07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25000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6092353.8399999999</v>
      </c>
      <c r="G192" s="47">
        <f>G111+G139+G168+G191</f>
        <v>136135.29</v>
      </c>
      <c r="H192" s="47">
        <f>H111+H139+H168+H191</f>
        <v>173114.07</v>
      </c>
      <c r="I192" s="47">
        <f>I111+I139+I168+I191</f>
        <v>0</v>
      </c>
      <c r="J192" s="47">
        <f>J111+J139+J191</f>
        <v>25205.51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432567.86</v>
      </c>
      <c r="G214" s="18">
        <v>166996.63</v>
      </c>
      <c r="H214" s="18">
        <v>13932.83</v>
      </c>
      <c r="I214" s="18">
        <v>20984.21</v>
      </c>
      <c r="J214" s="18">
        <v>6141.49</v>
      </c>
      <c r="K214" s="18"/>
      <c r="L214" s="19">
        <f>SUM(F214:K214)</f>
        <v>640623.0199999999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283644.27</v>
      </c>
      <c r="G215" s="18">
        <v>212645.74</v>
      </c>
      <c r="H215" s="18">
        <v>1085</v>
      </c>
      <c r="I215" s="18">
        <v>2503.46</v>
      </c>
      <c r="J215" s="18"/>
      <c r="K215" s="18"/>
      <c r="L215" s="19">
        <f>SUM(F215:K215)</f>
        <v>499878.47000000003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37327.53</v>
      </c>
      <c r="G216" s="18">
        <v>16496.07</v>
      </c>
      <c r="H216" s="18">
        <v>87.5</v>
      </c>
      <c r="I216" s="18">
        <v>4334.91</v>
      </c>
      <c r="J216" s="18"/>
      <c r="K216" s="18"/>
      <c r="L216" s="19">
        <f>SUM(F216:K216)</f>
        <v>58246.009999999995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32248.880000000001</v>
      </c>
      <c r="G217" s="18">
        <v>5463.42</v>
      </c>
      <c r="H217" s="18">
        <v>13362.38</v>
      </c>
      <c r="I217" s="18">
        <v>2185.8200000000002</v>
      </c>
      <c r="J217" s="18">
        <v>1830.85</v>
      </c>
      <c r="K217" s="18">
        <v>7430.14</v>
      </c>
      <c r="L217" s="19">
        <f>SUM(F217:K217)</f>
        <v>62521.49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40366.720000000001</v>
      </c>
      <c r="G219" s="18">
        <v>19076.77</v>
      </c>
      <c r="H219" s="18">
        <v>20460.32</v>
      </c>
      <c r="I219" s="18">
        <v>634.65</v>
      </c>
      <c r="J219" s="18"/>
      <c r="K219" s="18"/>
      <c r="L219" s="19">
        <f t="shared" ref="L219:L225" si="2">SUM(F219:K219)</f>
        <v>80538.459999999992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41016.32</v>
      </c>
      <c r="G220" s="18">
        <v>18636.11</v>
      </c>
      <c r="H220" s="18">
        <v>114.83</v>
      </c>
      <c r="I220" s="18">
        <v>3796.04</v>
      </c>
      <c r="J220" s="18">
        <v>194.6</v>
      </c>
      <c r="K220" s="18">
        <v>10335.120000000001</v>
      </c>
      <c r="L220" s="19">
        <f t="shared" si="2"/>
        <v>74093.02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3053.75</v>
      </c>
      <c r="G221" s="18">
        <v>259.04000000000002</v>
      </c>
      <c r="H221" s="18">
        <v>100245.04</v>
      </c>
      <c r="I221" s="18"/>
      <c r="J221" s="18"/>
      <c r="K221" s="18">
        <v>3755.25</v>
      </c>
      <c r="L221" s="19">
        <f t="shared" si="2"/>
        <v>107313.07999999999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77233.37</v>
      </c>
      <c r="G222" s="18">
        <v>35542.65</v>
      </c>
      <c r="H222" s="18">
        <v>18197.48</v>
      </c>
      <c r="I222" s="18">
        <v>3148.11</v>
      </c>
      <c r="J222" s="18">
        <v>78.39</v>
      </c>
      <c r="K222" s="18">
        <v>866.85</v>
      </c>
      <c r="L222" s="19">
        <f t="shared" si="2"/>
        <v>135066.85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44066.31</v>
      </c>
      <c r="G224" s="18">
        <v>25695.91</v>
      </c>
      <c r="H224" s="18">
        <v>60871.37</v>
      </c>
      <c r="I224" s="18">
        <v>62046.54</v>
      </c>
      <c r="J224" s="18">
        <v>14716.27</v>
      </c>
      <c r="K224" s="18"/>
      <c r="L224" s="19">
        <f t="shared" si="2"/>
        <v>207396.4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19987.2</v>
      </c>
      <c r="I225" s="18"/>
      <c r="J225" s="18"/>
      <c r="K225" s="18"/>
      <c r="L225" s="19">
        <f t="shared" si="2"/>
        <v>19987.2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991525.01</v>
      </c>
      <c r="G228" s="41">
        <f>SUM(G214:G227)</f>
        <v>500812.33999999997</v>
      </c>
      <c r="H228" s="41">
        <f>SUM(H214:H227)</f>
        <v>248343.95</v>
      </c>
      <c r="I228" s="41">
        <f>SUM(I214:I227)</f>
        <v>99633.739999999991</v>
      </c>
      <c r="J228" s="41">
        <f>SUM(J214:J227)</f>
        <v>22961.599999999999</v>
      </c>
      <c r="K228" s="41">
        <f t="shared" si="3"/>
        <v>22387.360000000001</v>
      </c>
      <c r="L228" s="41">
        <f t="shared" si="3"/>
        <v>1885664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799945.07</v>
      </c>
      <c r="G232" s="18">
        <v>386839.62</v>
      </c>
      <c r="H232" s="18">
        <v>27588.57</v>
      </c>
      <c r="I232" s="18">
        <v>34082.61</v>
      </c>
      <c r="J232" s="18">
        <v>11405.29</v>
      </c>
      <c r="K232" s="18"/>
      <c r="L232" s="19">
        <f>SUM(F232:K232)</f>
        <v>1259861.1600000001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171869.02</v>
      </c>
      <c r="G233" s="18">
        <v>119484.55</v>
      </c>
      <c r="H233" s="18">
        <v>219434.21</v>
      </c>
      <c r="I233" s="18">
        <v>5664.96</v>
      </c>
      <c r="J233" s="18"/>
      <c r="K233" s="18"/>
      <c r="L233" s="19">
        <f>SUM(F233:K233)</f>
        <v>516452.74000000005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69322.47</v>
      </c>
      <c r="G234" s="18">
        <v>30634.22</v>
      </c>
      <c r="H234" s="18">
        <v>26324.44</v>
      </c>
      <c r="I234" s="18">
        <v>8050.55</v>
      </c>
      <c r="J234" s="18"/>
      <c r="K234" s="18"/>
      <c r="L234" s="19">
        <f>SUM(F234:K234)</f>
        <v>134331.68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59021.120000000003</v>
      </c>
      <c r="G235" s="18">
        <v>7822.55</v>
      </c>
      <c r="H235" s="18">
        <v>24519.62</v>
      </c>
      <c r="I235" s="18">
        <v>4059.31</v>
      </c>
      <c r="J235" s="18">
        <v>3160.09</v>
      </c>
      <c r="K235" s="18">
        <v>12798.73</v>
      </c>
      <c r="L235" s="19">
        <f>SUM(F235:K235)</f>
        <v>111381.41999999998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103759.09</v>
      </c>
      <c r="G237" s="18">
        <v>28479.48</v>
      </c>
      <c r="H237" s="18">
        <v>41908.22</v>
      </c>
      <c r="I237" s="18">
        <v>1505.1</v>
      </c>
      <c r="J237" s="18"/>
      <c r="K237" s="18"/>
      <c r="L237" s="19">
        <f t="shared" ref="L237:L243" si="4">SUM(F237:K237)</f>
        <v>175651.89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76173.42</v>
      </c>
      <c r="G238" s="18">
        <v>34609.25</v>
      </c>
      <c r="H238" s="18">
        <v>213.28</v>
      </c>
      <c r="I238" s="18">
        <v>7049.5</v>
      </c>
      <c r="J238" s="18">
        <v>361.4</v>
      </c>
      <c r="K238" s="18">
        <v>18745.41</v>
      </c>
      <c r="L238" s="19">
        <f t="shared" si="4"/>
        <v>137152.25999999998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5671.25</v>
      </c>
      <c r="G239" s="18">
        <v>481.05</v>
      </c>
      <c r="H239" s="18">
        <v>186169.35</v>
      </c>
      <c r="I239" s="18"/>
      <c r="J239" s="18"/>
      <c r="K239" s="18">
        <v>6974.05</v>
      </c>
      <c r="L239" s="19">
        <f t="shared" si="4"/>
        <v>199295.69999999998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143433.23000000001</v>
      </c>
      <c r="G240" s="18">
        <v>66005.52</v>
      </c>
      <c r="H240" s="18">
        <v>37156.300000000003</v>
      </c>
      <c r="I240" s="18">
        <v>5846.45</v>
      </c>
      <c r="J240" s="18">
        <v>145.58000000000001</v>
      </c>
      <c r="K240" s="18">
        <v>5579.97</v>
      </c>
      <c r="L240" s="19">
        <f t="shared" si="4"/>
        <v>258167.05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91671.24</v>
      </c>
      <c r="G242" s="18">
        <v>48597.35</v>
      </c>
      <c r="H242" s="18">
        <v>113046.91</v>
      </c>
      <c r="I242" s="18">
        <v>115229.4</v>
      </c>
      <c r="J242" s="18">
        <v>27330.22</v>
      </c>
      <c r="K242" s="18"/>
      <c r="L242" s="19">
        <f t="shared" si="4"/>
        <v>395875.12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64129.54</v>
      </c>
      <c r="I243" s="18">
        <v>2724.2</v>
      </c>
      <c r="J243" s="18"/>
      <c r="K243" s="18"/>
      <c r="L243" s="19">
        <f t="shared" si="4"/>
        <v>66853.740000000005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1520865.91</v>
      </c>
      <c r="G246" s="41">
        <f t="shared" si="5"/>
        <v>722953.59000000008</v>
      </c>
      <c r="H246" s="41">
        <f t="shared" si="5"/>
        <v>740490.44000000006</v>
      </c>
      <c r="I246" s="41">
        <f t="shared" si="5"/>
        <v>184212.08000000002</v>
      </c>
      <c r="J246" s="41">
        <f t="shared" si="5"/>
        <v>42402.58</v>
      </c>
      <c r="K246" s="41">
        <f t="shared" si="5"/>
        <v>44098.16</v>
      </c>
      <c r="L246" s="41">
        <f t="shared" si="5"/>
        <v>3255022.7600000002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2512390.92</v>
      </c>
      <c r="G256" s="41">
        <f t="shared" si="8"/>
        <v>1223765.9300000002</v>
      </c>
      <c r="H256" s="41">
        <f t="shared" si="8"/>
        <v>988834.39000000013</v>
      </c>
      <c r="I256" s="41">
        <f t="shared" si="8"/>
        <v>283845.82</v>
      </c>
      <c r="J256" s="41">
        <f t="shared" si="8"/>
        <v>65364.18</v>
      </c>
      <c r="K256" s="41">
        <f t="shared" si="8"/>
        <v>66485.52</v>
      </c>
      <c r="L256" s="41">
        <f t="shared" si="8"/>
        <v>5140686.76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650000</v>
      </c>
      <c r="L259" s="19">
        <f>SUM(F259:K259)</f>
        <v>650000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430981.26</v>
      </c>
      <c r="L260" s="19">
        <f>SUM(F260:K260)</f>
        <v>430981.26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22236</v>
      </c>
      <c r="L267" s="19">
        <f t="shared" si="9"/>
        <v>22236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1128217.26</v>
      </c>
      <c r="L269" s="41">
        <f t="shared" si="9"/>
        <v>1128217.26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2512390.92</v>
      </c>
      <c r="G270" s="42">
        <f t="shared" si="11"/>
        <v>1223765.9300000002</v>
      </c>
      <c r="H270" s="42">
        <f t="shared" si="11"/>
        <v>988834.39000000013</v>
      </c>
      <c r="I270" s="42">
        <f t="shared" si="11"/>
        <v>283845.82</v>
      </c>
      <c r="J270" s="42">
        <f t="shared" si="11"/>
        <v>65364.18</v>
      </c>
      <c r="K270" s="42">
        <f t="shared" si="11"/>
        <v>1194702.78</v>
      </c>
      <c r="L270" s="42">
        <f t="shared" si="11"/>
        <v>6268904.0199999996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4550</v>
      </c>
      <c r="G294" s="18">
        <v>762.52</v>
      </c>
      <c r="H294" s="18">
        <v>2654.26</v>
      </c>
      <c r="I294" s="18">
        <v>1708.22</v>
      </c>
      <c r="J294" s="18">
        <v>938.85</v>
      </c>
      <c r="K294" s="18"/>
      <c r="L294" s="19">
        <f>SUM(F294:K294)</f>
        <v>10613.85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41887.53</v>
      </c>
      <c r="G295" s="18">
        <v>22528.560000000001</v>
      </c>
      <c r="H295" s="18">
        <v>6936.71</v>
      </c>
      <c r="I295" s="18">
        <v>6522.62</v>
      </c>
      <c r="J295" s="18">
        <v>3244.5</v>
      </c>
      <c r="K295" s="18"/>
      <c r="L295" s="19">
        <f>SUM(F295:K295)</f>
        <v>81119.92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2450</v>
      </c>
      <c r="G300" s="18">
        <v>435.68</v>
      </c>
      <c r="H300" s="18"/>
      <c r="I300" s="18">
        <v>160.22999999999999</v>
      </c>
      <c r="J300" s="18"/>
      <c r="K300" s="18"/>
      <c r="L300" s="19">
        <f t="shared" si="14"/>
        <v>3045.91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v>4302.95</v>
      </c>
      <c r="L301" s="19">
        <f t="shared" si="14"/>
        <v>4302.95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48887.53</v>
      </c>
      <c r="G308" s="42">
        <f t="shared" si="15"/>
        <v>23726.760000000002</v>
      </c>
      <c r="H308" s="42">
        <f t="shared" si="15"/>
        <v>9590.9700000000012</v>
      </c>
      <c r="I308" s="42">
        <f t="shared" si="15"/>
        <v>8391.07</v>
      </c>
      <c r="J308" s="42">
        <f t="shared" si="15"/>
        <v>4183.3500000000004</v>
      </c>
      <c r="K308" s="42">
        <f t="shared" si="15"/>
        <v>4302.95</v>
      </c>
      <c r="L308" s="41">
        <f t="shared" si="15"/>
        <v>99082.63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8450</v>
      </c>
      <c r="G313" s="18">
        <v>1416.1</v>
      </c>
      <c r="H313" s="18">
        <v>4929.3599999999997</v>
      </c>
      <c r="I313" s="18">
        <v>3172.4</v>
      </c>
      <c r="J313" s="18">
        <v>1743.58</v>
      </c>
      <c r="K313" s="18"/>
      <c r="L313" s="19">
        <f>SUM(F313:K313)</f>
        <v>19711.440000000002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13621.04</v>
      </c>
      <c r="G314" s="18">
        <v>2045.52</v>
      </c>
      <c r="H314" s="18">
        <v>12882.46</v>
      </c>
      <c r="I314" s="18">
        <v>12113.44</v>
      </c>
      <c r="J314" s="18">
        <v>6025.5</v>
      </c>
      <c r="K314" s="18"/>
      <c r="L314" s="19">
        <f>SUM(F314:K314)</f>
        <v>46687.96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4550</v>
      </c>
      <c r="G318" s="18">
        <v>809.33</v>
      </c>
      <c r="H318" s="18"/>
      <c r="I318" s="18">
        <v>297.57</v>
      </c>
      <c r="J318" s="18"/>
      <c r="K318" s="18"/>
      <c r="L318" s="19">
        <f t="shared" ref="L318:L324" si="16">SUM(F318:K318)</f>
        <v>5656.9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>
        <v>1975.14</v>
      </c>
      <c r="L319" s="19">
        <f t="shared" si="16"/>
        <v>1975.14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26621.040000000001</v>
      </c>
      <c r="G327" s="42">
        <f t="shared" si="17"/>
        <v>4270.95</v>
      </c>
      <c r="H327" s="42">
        <f t="shared" si="17"/>
        <v>17811.82</v>
      </c>
      <c r="I327" s="42">
        <f t="shared" si="17"/>
        <v>15583.41</v>
      </c>
      <c r="J327" s="42">
        <f t="shared" si="17"/>
        <v>7769.08</v>
      </c>
      <c r="K327" s="42">
        <f t="shared" si="17"/>
        <v>1975.14</v>
      </c>
      <c r="L327" s="41">
        <f t="shared" si="17"/>
        <v>74031.439999999988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75508.570000000007</v>
      </c>
      <c r="G337" s="41">
        <f t="shared" si="20"/>
        <v>27997.710000000003</v>
      </c>
      <c r="H337" s="41">
        <f t="shared" si="20"/>
        <v>27402.79</v>
      </c>
      <c r="I337" s="41">
        <f t="shared" si="20"/>
        <v>23974.48</v>
      </c>
      <c r="J337" s="41">
        <f t="shared" si="20"/>
        <v>11952.43</v>
      </c>
      <c r="K337" s="41">
        <f t="shared" si="20"/>
        <v>6278.09</v>
      </c>
      <c r="L337" s="41">
        <f t="shared" si="20"/>
        <v>173114.07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75508.570000000007</v>
      </c>
      <c r="G351" s="41">
        <f>G337</f>
        <v>27997.710000000003</v>
      </c>
      <c r="H351" s="41">
        <f>H337</f>
        <v>27402.79</v>
      </c>
      <c r="I351" s="41">
        <f>I337</f>
        <v>23974.48</v>
      </c>
      <c r="J351" s="41">
        <f>J337</f>
        <v>11952.43</v>
      </c>
      <c r="K351" s="47">
        <f>K337+K350</f>
        <v>6278.09</v>
      </c>
      <c r="L351" s="41">
        <f>L337+L350</f>
        <v>173114.07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47441.45</v>
      </c>
      <c r="I358" s="18"/>
      <c r="J358" s="18"/>
      <c r="K358" s="18"/>
      <c r="L358" s="19">
        <f>SUM(F358:K358)</f>
        <v>47441.45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88105.55</v>
      </c>
      <c r="I359" s="18"/>
      <c r="J359" s="18"/>
      <c r="K359" s="18"/>
      <c r="L359" s="19">
        <f>SUM(F359:K359)</f>
        <v>88105.55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135547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135547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41.02</v>
      </c>
      <c r="I395" s="18"/>
      <c r="J395" s="24" t="s">
        <v>289</v>
      </c>
      <c r="K395" s="24" t="s">
        <v>289</v>
      </c>
      <c r="L395" s="56">
        <f t="shared" si="26"/>
        <v>41.02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130.76</v>
      </c>
      <c r="I396" s="18"/>
      <c r="J396" s="24" t="s">
        <v>289</v>
      </c>
      <c r="K396" s="24" t="s">
        <v>289</v>
      </c>
      <c r="L396" s="56">
        <f t="shared" si="26"/>
        <v>130.76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25000</v>
      </c>
      <c r="H398" s="18">
        <v>33.729999999999997</v>
      </c>
      <c r="I398" s="18"/>
      <c r="J398" s="24" t="s">
        <v>289</v>
      </c>
      <c r="K398" s="24" t="s">
        <v>289</v>
      </c>
      <c r="L398" s="56">
        <f t="shared" si="26"/>
        <v>25033.73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205.51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25205.51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205.51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25205.51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226416.71</v>
      </c>
      <c r="G438" s="18">
        <v>55221.55</v>
      </c>
      <c r="H438" s="18"/>
      <c r="I438" s="56">
        <f t="shared" ref="I438:I444" si="33">SUM(F438:H438)</f>
        <v>281638.26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226416.71</v>
      </c>
      <c r="G445" s="13">
        <f>SUM(G438:G444)</f>
        <v>55221.55</v>
      </c>
      <c r="H445" s="13">
        <f>SUM(H438:H444)</f>
        <v>0</v>
      </c>
      <c r="I445" s="13">
        <f>SUM(I438:I444)</f>
        <v>281638.26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226416.71</v>
      </c>
      <c r="G458" s="18">
        <v>55221.55</v>
      </c>
      <c r="H458" s="18"/>
      <c r="I458" s="56">
        <f t="shared" si="34"/>
        <v>281638.26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226416.71</v>
      </c>
      <c r="G459" s="83">
        <f>SUM(G453:G458)</f>
        <v>55221.55</v>
      </c>
      <c r="H459" s="83">
        <f>SUM(H453:H458)</f>
        <v>0</v>
      </c>
      <c r="I459" s="83">
        <f>SUM(I453:I458)</f>
        <v>281638.26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226416.71</v>
      </c>
      <c r="G460" s="42">
        <f>G451+G459</f>
        <v>55221.55</v>
      </c>
      <c r="H460" s="42">
        <f>H451+H459</f>
        <v>0</v>
      </c>
      <c r="I460" s="42">
        <f>I451+I459</f>
        <v>281638.26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353479.92</v>
      </c>
      <c r="G464" s="18">
        <v>1569.82</v>
      </c>
      <c r="H464" s="18">
        <v>0</v>
      </c>
      <c r="I464" s="18"/>
      <c r="J464" s="18">
        <v>256432.75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6092353.8399999999</v>
      </c>
      <c r="G467" s="18">
        <v>136135.29</v>
      </c>
      <c r="H467" s="18">
        <v>173114.07</v>
      </c>
      <c r="I467" s="18"/>
      <c r="J467" s="18">
        <v>25205.51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6092353.8399999999</v>
      </c>
      <c r="G469" s="53">
        <f>SUM(G467:G468)</f>
        <v>136135.29</v>
      </c>
      <c r="H469" s="53">
        <f>SUM(H467:H468)</f>
        <v>173114.07</v>
      </c>
      <c r="I469" s="53">
        <f>SUM(I467:I468)</f>
        <v>0</v>
      </c>
      <c r="J469" s="53">
        <f>SUM(J467:J468)</f>
        <v>25205.51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6268904.0199999996</v>
      </c>
      <c r="G471" s="18">
        <v>135547</v>
      </c>
      <c r="H471" s="18">
        <v>173114.07</v>
      </c>
      <c r="I471" s="18"/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6268904.0199999996</v>
      </c>
      <c r="G473" s="53">
        <f>SUM(G471:G472)</f>
        <v>135547</v>
      </c>
      <c r="H473" s="53">
        <f>SUM(H471:H472)</f>
        <v>173114.07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176929.74000000022</v>
      </c>
      <c r="G475" s="53">
        <f>(G464+G469)- G473</f>
        <v>2158.1100000000151</v>
      </c>
      <c r="H475" s="53">
        <f>(H464+H469)- H473</f>
        <v>0</v>
      </c>
      <c r="I475" s="53">
        <f>(I464+I469)- I473</f>
        <v>0</v>
      </c>
      <c r="J475" s="53">
        <f>(J464+J469)- J473</f>
        <v>281638.26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12948800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9700000</v>
      </c>
      <c r="G494" s="18"/>
      <c r="H494" s="18"/>
      <c r="I494" s="18"/>
      <c r="J494" s="18"/>
      <c r="K494" s="53">
        <f>SUM(F494:J494)</f>
        <v>9700000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650000</v>
      </c>
      <c r="G496" s="18"/>
      <c r="H496" s="18"/>
      <c r="I496" s="18"/>
      <c r="J496" s="18"/>
      <c r="K496" s="53">
        <f t="shared" si="35"/>
        <v>650000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9050000</v>
      </c>
      <c r="G497" s="204"/>
      <c r="H497" s="204"/>
      <c r="I497" s="204"/>
      <c r="J497" s="204"/>
      <c r="K497" s="205">
        <f t="shared" si="35"/>
        <v>9050000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2852593.86</v>
      </c>
      <c r="G498" s="18"/>
      <c r="H498" s="18"/>
      <c r="I498" s="18"/>
      <c r="J498" s="18"/>
      <c r="K498" s="53">
        <f t="shared" si="35"/>
        <v>2852593.86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11902593.859999999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11902593.859999999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650000</v>
      </c>
      <c r="G500" s="204"/>
      <c r="H500" s="204"/>
      <c r="I500" s="204"/>
      <c r="J500" s="204"/>
      <c r="K500" s="205">
        <f t="shared" si="35"/>
        <v>650000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398481.26</v>
      </c>
      <c r="G501" s="18"/>
      <c r="H501" s="18"/>
      <c r="I501" s="18"/>
      <c r="J501" s="18"/>
      <c r="K501" s="53">
        <f t="shared" si="35"/>
        <v>398481.26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1048481.26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1048481.26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16013602.73</v>
      </c>
      <c r="G512" s="24" t="s">
        <v>289</v>
      </c>
      <c r="H512" s="18">
        <v>2933066.49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193194</v>
      </c>
      <c r="G513" s="24" t="s">
        <v>289</v>
      </c>
      <c r="H513" s="18">
        <v>98272.67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>
        <v>96324</v>
      </c>
      <c r="H515" s="24" t="s">
        <v>289</v>
      </c>
      <c r="I515" s="18">
        <v>344610.59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16206796.73</v>
      </c>
      <c r="G516" s="42">
        <f>SUM(G510:G515)</f>
        <v>96324</v>
      </c>
      <c r="H516" s="42">
        <f>SUM(H510:H515)</f>
        <v>3031339.16</v>
      </c>
      <c r="I516" s="42">
        <f>SUM(I510:I515)</f>
        <v>344610.59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325531.8</v>
      </c>
      <c r="G521" s="18">
        <v>235174.3</v>
      </c>
      <c r="H521" s="18">
        <v>8021.71</v>
      </c>
      <c r="I521" s="18">
        <v>7400.8</v>
      </c>
      <c r="J521" s="18">
        <v>3244.5</v>
      </c>
      <c r="K521" s="18"/>
      <c r="L521" s="88">
        <f>SUM(F521:K521)</f>
        <v>579373.11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185490.06</v>
      </c>
      <c r="G522" s="18">
        <v>121530.07</v>
      </c>
      <c r="H522" s="18">
        <v>232316.67</v>
      </c>
      <c r="I522" s="18">
        <v>14681.02</v>
      </c>
      <c r="J522" s="18">
        <v>6025.5</v>
      </c>
      <c r="K522" s="18"/>
      <c r="L522" s="88">
        <f>SUM(F522:K522)</f>
        <v>560043.32000000007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511021.86</v>
      </c>
      <c r="G523" s="108">
        <f t="shared" ref="G523:L523" si="36">SUM(G520:G522)</f>
        <v>356704.37</v>
      </c>
      <c r="H523" s="108">
        <f t="shared" si="36"/>
        <v>240338.38</v>
      </c>
      <c r="I523" s="108">
        <f t="shared" si="36"/>
        <v>22081.82</v>
      </c>
      <c r="J523" s="108">
        <f t="shared" si="36"/>
        <v>9270</v>
      </c>
      <c r="K523" s="108">
        <f t="shared" si="36"/>
        <v>0</v>
      </c>
      <c r="L523" s="89">
        <f t="shared" si="36"/>
        <v>1139416.4300000002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20460.32</v>
      </c>
      <c r="I526" s="18"/>
      <c r="J526" s="18"/>
      <c r="K526" s="18"/>
      <c r="L526" s="88">
        <f>SUM(F526:K526)</f>
        <v>20460.32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41908.22</v>
      </c>
      <c r="I527" s="18"/>
      <c r="J527" s="18"/>
      <c r="K527" s="18"/>
      <c r="L527" s="88">
        <f>SUM(F527:K527)</f>
        <v>41908.22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62368.54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62368.54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2378.9499999999998</v>
      </c>
      <c r="I541" s="18"/>
      <c r="J541" s="18"/>
      <c r="K541" s="18"/>
      <c r="L541" s="88">
        <f>SUM(F541:K541)</f>
        <v>2378.9499999999998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3121.47</v>
      </c>
      <c r="I542" s="18"/>
      <c r="J542" s="18"/>
      <c r="K542" s="18"/>
      <c r="L542" s="88">
        <f>SUM(F542:K542)</f>
        <v>3121.47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5500.42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5500.42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511021.86</v>
      </c>
      <c r="G544" s="89">
        <f t="shared" ref="G544:L544" si="41">G523+G528+G533+G538+G543</f>
        <v>356704.37</v>
      </c>
      <c r="H544" s="89">
        <f t="shared" si="41"/>
        <v>308207.33999999997</v>
      </c>
      <c r="I544" s="89">
        <f t="shared" si="41"/>
        <v>22081.82</v>
      </c>
      <c r="J544" s="89">
        <f t="shared" si="41"/>
        <v>9270</v>
      </c>
      <c r="K544" s="89">
        <f t="shared" si="41"/>
        <v>0</v>
      </c>
      <c r="L544" s="89">
        <f t="shared" si="41"/>
        <v>1207285.3900000001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579373.11</v>
      </c>
      <c r="G549" s="87">
        <f>L526</f>
        <v>20460.32</v>
      </c>
      <c r="H549" s="87">
        <f>L531</f>
        <v>0</v>
      </c>
      <c r="I549" s="87">
        <f>L536</f>
        <v>0</v>
      </c>
      <c r="J549" s="87">
        <f>L541</f>
        <v>2378.9499999999998</v>
      </c>
      <c r="K549" s="87">
        <f>SUM(F549:J549)</f>
        <v>602212.37999999989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560043.32000000007</v>
      </c>
      <c r="G550" s="87">
        <f>L527</f>
        <v>41908.22</v>
      </c>
      <c r="H550" s="87">
        <f>L532</f>
        <v>0</v>
      </c>
      <c r="I550" s="87">
        <f>L537</f>
        <v>0</v>
      </c>
      <c r="J550" s="87">
        <f>L542</f>
        <v>3121.47</v>
      </c>
      <c r="K550" s="87">
        <f>SUM(F550:J550)</f>
        <v>605073.01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1139416.4300000002</v>
      </c>
      <c r="G551" s="89">
        <f t="shared" si="42"/>
        <v>62368.54</v>
      </c>
      <c r="H551" s="89">
        <f t="shared" si="42"/>
        <v>0</v>
      </c>
      <c r="I551" s="89">
        <f t="shared" si="42"/>
        <v>0</v>
      </c>
      <c r="J551" s="89">
        <f t="shared" si="42"/>
        <v>5500.42</v>
      </c>
      <c r="K551" s="89">
        <f t="shared" si="42"/>
        <v>1207285.3899999999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>
        <v>1625.28</v>
      </c>
      <c r="J567" s="18"/>
      <c r="K567" s="18"/>
      <c r="L567" s="88">
        <f>SUM(F567:K567)</f>
        <v>1625.28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>
        <v>3097.38</v>
      </c>
      <c r="J568" s="18"/>
      <c r="K568" s="18"/>
      <c r="L568" s="88">
        <f>SUM(F568:K568)</f>
        <v>3097.38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4722.66</v>
      </c>
      <c r="J569" s="193">
        <f t="shared" si="45"/>
        <v>0</v>
      </c>
      <c r="K569" s="193">
        <f t="shared" si="45"/>
        <v>0</v>
      </c>
      <c r="L569" s="193">
        <f t="shared" si="45"/>
        <v>4722.66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4722.66</v>
      </c>
      <c r="J570" s="89">
        <f t="shared" si="46"/>
        <v>0</v>
      </c>
      <c r="K570" s="89">
        <f t="shared" si="46"/>
        <v>0</v>
      </c>
      <c r="L570" s="89">
        <f t="shared" si="46"/>
        <v>4722.66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4405.7700000000004</v>
      </c>
      <c r="I578" s="87">
        <f t="shared" si="47"/>
        <v>4405.7700000000004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143827.35999999999</v>
      </c>
      <c r="I581" s="87">
        <f t="shared" si="47"/>
        <v>143827.35999999999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61294.45</v>
      </c>
      <c r="I582" s="87">
        <f t="shared" si="47"/>
        <v>61294.45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26161.96</v>
      </c>
      <c r="I583" s="87">
        <f t="shared" si="47"/>
        <v>26161.96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>
        <v>1061.9000000000001</v>
      </c>
      <c r="J590" s="18">
        <v>6957.67</v>
      </c>
      <c r="K590" s="104">
        <f t="shared" ref="K590:K596" si="48">SUM(H590:J590)</f>
        <v>8019.57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v>2378.9499999999998</v>
      </c>
      <c r="J591" s="18">
        <v>3121.47</v>
      </c>
      <c r="K591" s="104">
        <f t="shared" si="48"/>
        <v>5500.42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27310.87</v>
      </c>
      <c r="K592" s="104">
        <f t="shared" si="48"/>
        <v>27310.87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13154.41</v>
      </c>
      <c r="J593" s="18">
        <v>23164.39</v>
      </c>
      <c r="K593" s="104">
        <f t="shared" si="48"/>
        <v>36318.800000000003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3391.94</v>
      </c>
      <c r="J594" s="18">
        <v>6299.34</v>
      </c>
      <c r="K594" s="104">
        <f t="shared" si="48"/>
        <v>9691.2800000000007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19987.199999999997</v>
      </c>
      <c r="J597" s="108">
        <f>SUM(J590:J596)</f>
        <v>66853.739999999991</v>
      </c>
      <c r="K597" s="108">
        <f>SUM(K590:K596)</f>
        <v>86840.94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>
        <v>27144.95</v>
      </c>
      <c r="J603" s="18">
        <v>50171.66</v>
      </c>
      <c r="K603" s="104">
        <f>SUM(H603:J603)</f>
        <v>77316.61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27144.95</v>
      </c>
      <c r="J604" s="108">
        <f>SUM(J601:J603)</f>
        <v>50171.66</v>
      </c>
      <c r="K604" s="108">
        <f>SUM(K601:K603)</f>
        <v>77316.61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243123.00999999998</v>
      </c>
      <c r="H616" s="109">
        <f>SUM(F51)</f>
        <v>243123.01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2158.1100000000006</v>
      </c>
      <c r="H617" s="109">
        <f>SUM(G51)</f>
        <v>2158.11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281638.26</v>
      </c>
      <c r="H620" s="109">
        <f>SUM(J51)</f>
        <v>281638.26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176929.74</v>
      </c>
      <c r="H621" s="109">
        <f>F475</f>
        <v>176929.74000000022</v>
      </c>
      <c r="I621" s="121" t="s">
        <v>101</v>
      </c>
      <c r="J621" s="109">
        <f t="shared" ref="J621:J654" si="50">G621-H621</f>
        <v>-2.3283064365386963E-10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2158.11</v>
      </c>
      <c r="H622" s="109">
        <f>G475</f>
        <v>2158.1100000000151</v>
      </c>
      <c r="I622" s="121" t="s">
        <v>102</v>
      </c>
      <c r="J622" s="109">
        <f t="shared" si="50"/>
        <v>-1.5006662579253316E-11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281638.26</v>
      </c>
      <c r="H625" s="109">
        <f>J475</f>
        <v>281638.26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6092353.8399999999</v>
      </c>
      <c r="H626" s="104">
        <f>SUM(F467)</f>
        <v>6092353.8399999999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136135.29</v>
      </c>
      <c r="H627" s="104">
        <f>SUM(G467)</f>
        <v>136135.29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173114.07</v>
      </c>
      <c r="H628" s="104">
        <f>SUM(H467)</f>
        <v>173114.07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25205.51</v>
      </c>
      <c r="H630" s="104">
        <f>SUM(J467)</f>
        <v>25205.51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6268904.0199999996</v>
      </c>
      <c r="H631" s="104">
        <f>SUM(F471)</f>
        <v>6268904.0199999996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173114.07</v>
      </c>
      <c r="H632" s="104">
        <f>SUM(H471)</f>
        <v>173114.07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135547</v>
      </c>
      <c r="H634" s="104">
        <f>SUM(G471)</f>
        <v>135547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25205.51</v>
      </c>
      <c r="H636" s="164">
        <f>SUM(J467)</f>
        <v>25205.51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226416.71</v>
      </c>
      <c r="H638" s="104">
        <f>SUM(F460)</f>
        <v>226416.71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55221.55</v>
      </c>
      <c r="H639" s="104">
        <f>SUM(G460)</f>
        <v>55221.55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281638.26</v>
      </c>
      <c r="H641" s="104">
        <f>SUM(I460)</f>
        <v>281638.26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205.51</v>
      </c>
      <c r="H643" s="104">
        <f>H407</f>
        <v>205.51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25205.51</v>
      </c>
      <c r="H645" s="104">
        <f>L407</f>
        <v>25205.51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86840.94</v>
      </c>
      <c r="H646" s="104">
        <f>L207+L225+L243</f>
        <v>86840.94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77316.61</v>
      </c>
      <c r="H647" s="104">
        <f>(J256+J337)-(J254+J335)</f>
        <v>77316.61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19987.2</v>
      </c>
      <c r="H649" s="104">
        <f>I597</f>
        <v>19987.199999999997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66853.740000000005</v>
      </c>
      <c r="H650" s="104">
        <f>J597</f>
        <v>66853.739999999991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2032188.0799999998</v>
      </c>
      <c r="H659" s="19">
        <f>(L246+L327+L359)</f>
        <v>3417159.75</v>
      </c>
      <c r="I659" s="19">
        <f>SUM(F659:H659)</f>
        <v>5449347.8300000001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31591.031499999997</v>
      </c>
      <c r="H660" s="19">
        <f>(L359/IF(SUM(L357:L359)=0,1,SUM(L357:L359))*(SUM(G96:G109)))</f>
        <v>58669.058499999999</v>
      </c>
      <c r="I660" s="19">
        <f>SUM(F660:H660)</f>
        <v>90260.09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19987.2</v>
      </c>
      <c r="H661" s="19">
        <f>(L243+L324)-(J243+J324)</f>
        <v>66853.740000000005</v>
      </c>
      <c r="I661" s="19">
        <f>SUM(F661:H661)</f>
        <v>86840.94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0</v>
      </c>
      <c r="G662" s="199">
        <f>SUM(G574:G586)+SUM(I601:I603)+L611</f>
        <v>27144.95</v>
      </c>
      <c r="H662" s="199">
        <f>SUM(H574:H586)+SUM(J601:J603)+L612</f>
        <v>285861.19999999995</v>
      </c>
      <c r="I662" s="19">
        <f>SUM(F662:H662)</f>
        <v>313006.14999999997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1953464.8984999999</v>
      </c>
      <c r="H663" s="19">
        <f>H659-SUM(H660:H662)</f>
        <v>3005775.7515000002</v>
      </c>
      <c r="I663" s="19">
        <f>I659-SUM(I660:I662)</f>
        <v>4959240.6500000004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>
        <v>90.93</v>
      </c>
      <c r="H664" s="248">
        <v>179.25</v>
      </c>
      <c r="I664" s="19">
        <f>SUM(F664:H664)</f>
        <v>270.18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>
        <f>ROUND(G663/G664,2)</f>
        <v>21483.17</v>
      </c>
      <c r="H666" s="19">
        <f>ROUND(H663/H664,2)</f>
        <v>16768.62</v>
      </c>
      <c r="I666" s="19">
        <f>ROUND(I663/I664,2)</f>
        <v>18355.32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-4.33</v>
      </c>
      <c r="I669" s="19">
        <f>SUM(F669:H669)</f>
        <v>-4.33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>
        <f>ROUND((G663+G668)/(G664+G669),2)</f>
        <v>21483.17</v>
      </c>
      <c r="H671" s="19">
        <f>ROUND((H663+H668)/(H664+H669),2)</f>
        <v>17183.72</v>
      </c>
      <c r="I671" s="19">
        <f>ROUND((I663+I668)/(I664+I669),2)</f>
        <v>18654.28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PROFILE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1245512.93</v>
      </c>
      <c r="C9" s="229">
        <f>'DOE25'!G196+'DOE25'!G214+'DOE25'!G232+'DOE25'!G275+'DOE25'!G294+'DOE25'!G313</f>
        <v>556014.87</v>
      </c>
    </row>
    <row r="10" spans="1:3" x14ac:dyDescent="0.2">
      <c r="A10" t="s">
        <v>779</v>
      </c>
      <c r="B10" s="240">
        <v>1204885.6299999999</v>
      </c>
      <c r="C10" s="240">
        <v>543751.18000000005</v>
      </c>
    </row>
    <row r="11" spans="1:3" x14ac:dyDescent="0.2">
      <c r="A11" t="s">
        <v>780</v>
      </c>
      <c r="B11" s="240">
        <v>24252.3</v>
      </c>
      <c r="C11" s="240">
        <v>11011</v>
      </c>
    </row>
    <row r="12" spans="1:3" x14ac:dyDescent="0.2">
      <c r="A12" t="s">
        <v>781</v>
      </c>
      <c r="B12" s="240">
        <v>16375</v>
      </c>
      <c r="C12" s="240">
        <v>1252.69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1245512.93</v>
      </c>
      <c r="C13" s="231">
        <f>SUM(C10:C12)</f>
        <v>556014.87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511021.86000000004</v>
      </c>
      <c r="C18" s="229">
        <f>'DOE25'!G197+'DOE25'!G215+'DOE25'!G233+'DOE25'!G276+'DOE25'!G295+'DOE25'!G314</f>
        <v>356704.37</v>
      </c>
    </row>
    <row r="19" spans="1:3" x14ac:dyDescent="0.2">
      <c r="A19" t="s">
        <v>779</v>
      </c>
      <c r="B19" s="240">
        <v>203139.63</v>
      </c>
      <c r="C19" s="240">
        <v>79342.070000000007</v>
      </c>
    </row>
    <row r="20" spans="1:3" x14ac:dyDescent="0.2">
      <c r="A20" t="s">
        <v>780</v>
      </c>
      <c r="B20" s="240">
        <v>307882.23</v>
      </c>
      <c r="C20" s="240">
        <v>277362.3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511021.86</v>
      </c>
      <c r="C22" s="231">
        <f>SUM(C19:C21)</f>
        <v>356704.37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106650</v>
      </c>
      <c r="C27" s="234">
        <f>'DOE25'!G198+'DOE25'!G216+'DOE25'!G234+'DOE25'!G277+'DOE25'!G296+'DOE25'!G315</f>
        <v>47130.29</v>
      </c>
    </row>
    <row r="28" spans="1:3" x14ac:dyDescent="0.2">
      <c r="A28" t="s">
        <v>779</v>
      </c>
      <c r="B28" s="240">
        <v>106650</v>
      </c>
      <c r="C28" s="240">
        <v>47130.29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106650</v>
      </c>
      <c r="C31" s="231">
        <f>SUM(C28:C30)</f>
        <v>47130.29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91270</v>
      </c>
      <c r="C36" s="235">
        <f>'DOE25'!G199+'DOE25'!G217+'DOE25'!G235+'DOE25'!G278+'DOE25'!G297+'DOE25'!G316</f>
        <v>13285.970000000001</v>
      </c>
    </row>
    <row r="37" spans="1:3" x14ac:dyDescent="0.2">
      <c r="A37" t="s">
        <v>779</v>
      </c>
      <c r="B37" s="240">
        <v>34494</v>
      </c>
      <c r="C37" s="240">
        <v>6612.09</v>
      </c>
    </row>
    <row r="38" spans="1:3" x14ac:dyDescent="0.2">
      <c r="A38" t="s">
        <v>780</v>
      </c>
      <c r="B38" s="240">
        <v>24026.5</v>
      </c>
      <c r="C38" s="240">
        <v>4168.54</v>
      </c>
    </row>
    <row r="39" spans="1:3" x14ac:dyDescent="0.2">
      <c r="A39" t="s">
        <v>781</v>
      </c>
      <c r="B39" s="240">
        <v>32749.5</v>
      </c>
      <c r="C39" s="240">
        <v>2505.34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91270</v>
      </c>
      <c r="C40" s="231">
        <f>SUM(C37:C39)</f>
        <v>13285.970000000001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PROFILE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3283295.99</v>
      </c>
      <c r="D5" s="20">
        <f>SUM('DOE25'!L196:L199)+SUM('DOE25'!L214:L217)+SUM('DOE25'!L232:L235)-F5-G5</f>
        <v>3240529.4</v>
      </c>
      <c r="E5" s="243"/>
      <c r="F5" s="255">
        <f>SUM('DOE25'!J196:J199)+SUM('DOE25'!J214:J217)+SUM('DOE25'!J232:J235)</f>
        <v>22537.72</v>
      </c>
      <c r="G5" s="53">
        <f>SUM('DOE25'!K196:K199)+SUM('DOE25'!K214:K217)+SUM('DOE25'!K232:K235)</f>
        <v>20228.87</v>
      </c>
      <c r="H5" s="259"/>
    </row>
    <row r="6" spans="1:9" x14ac:dyDescent="0.2">
      <c r="A6" s="32">
        <v>2100</v>
      </c>
      <c r="B6" t="s">
        <v>801</v>
      </c>
      <c r="C6" s="245">
        <f t="shared" si="0"/>
        <v>256190.35</v>
      </c>
      <c r="D6" s="20">
        <f>'DOE25'!L201+'DOE25'!L219+'DOE25'!L237-F6-G6</f>
        <v>256190.35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211245.27999999997</v>
      </c>
      <c r="D7" s="20">
        <f>'DOE25'!L202+'DOE25'!L220+'DOE25'!L238-F7-G7</f>
        <v>181608.74999999997</v>
      </c>
      <c r="E7" s="243"/>
      <c r="F7" s="255">
        <f>'DOE25'!J202+'DOE25'!J220+'DOE25'!J238</f>
        <v>556</v>
      </c>
      <c r="G7" s="53">
        <f>'DOE25'!K202+'DOE25'!K220+'DOE25'!K238</f>
        <v>29080.53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203863.19999999995</v>
      </c>
      <c r="D8" s="243"/>
      <c r="E8" s="20">
        <f>'DOE25'!L203+'DOE25'!L221+'DOE25'!L239-F8-G8-D9-D11</f>
        <v>193133.89999999997</v>
      </c>
      <c r="F8" s="255">
        <f>'DOE25'!J203+'DOE25'!J221+'DOE25'!J239</f>
        <v>0</v>
      </c>
      <c r="G8" s="53">
        <f>'DOE25'!K203+'DOE25'!K221+'DOE25'!K239</f>
        <v>10729.3</v>
      </c>
      <c r="H8" s="259"/>
    </row>
    <row r="9" spans="1:9" x14ac:dyDescent="0.2">
      <c r="A9" s="32">
        <v>2310</v>
      </c>
      <c r="B9" t="s">
        <v>818</v>
      </c>
      <c r="C9" s="245">
        <f t="shared" si="0"/>
        <v>51779.78</v>
      </c>
      <c r="D9" s="244">
        <v>51779.78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7902</v>
      </c>
      <c r="D10" s="243"/>
      <c r="E10" s="244">
        <v>7902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50965.8</v>
      </c>
      <c r="D11" s="244">
        <v>50965.8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393233.9</v>
      </c>
      <c r="D12" s="20">
        <f>'DOE25'!L204+'DOE25'!L222+'DOE25'!L240-F12-G12</f>
        <v>386563.11000000004</v>
      </c>
      <c r="E12" s="243"/>
      <c r="F12" s="255">
        <f>'DOE25'!J204+'DOE25'!J222+'DOE25'!J240</f>
        <v>223.97000000000003</v>
      </c>
      <c r="G12" s="53">
        <f>'DOE25'!K204+'DOE25'!K222+'DOE25'!K240</f>
        <v>6446.8200000000006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603271.52</v>
      </c>
      <c r="D14" s="20">
        <f>'DOE25'!L206+'DOE25'!L224+'DOE25'!L242-F14-G14</f>
        <v>561225.03</v>
      </c>
      <c r="E14" s="243"/>
      <c r="F14" s="255">
        <f>'DOE25'!J206+'DOE25'!J224+'DOE25'!J242</f>
        <v>42046.490000000005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86840.94</v>
      </c>
      <c r="D15" s="20">
        <f>'DOE25'!L207+'DOE25'!L225+'DOE25'!L243-F15-G15</f>
        <v>86840.94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1080981.26</v>
      </c>
      <c r="D25" s="243"/>
      <c r="E25" s="243"/>
      <c r="F25" s="258"/>
      <c r="G25" s="256"/>
      <c r="H25" s="257">
        <f>'DOE25'!L259+'DOE25'!L260+'DOE25'!L340+'DOE25'!L341</f>
        <v>1080981.26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135547</v>
      </c>
      <c r="D29" s="20">
        <f>'DOE25'!L357+'DOE25'!L358+'DOE25'!L359-'DOE25'!I366-F29-G29</f>
        <v>135547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173114.07</v>
      </c>
      <c r="D31" s="20">
        <f>'DOE25'!L289+'DOE25'!L308+'DOE25'!L327+'DOE25'!L332+'DOE25'!L333+'DOE25'!L334-F31-G31</f>
        <v>154883.55000000002</v>
      </c>
      <c r="E31" s="243"/>
      <c r="F31" s="255">
        <f>'DOE25'!J289+'DOE25'!J308+'DOE25'!J327+'DOE25'!J332+'DOE25'!J333+'DOE25'!J334</f>
        <v>11952.43</v>
      </c>
      <c r="G31" s="53">
        <f>'DOE25'!K289+'DOE25'!K308+'DOE25'!K327+'DOE25'!K332+'DOE25'!K333+'DOE25'!K334</f>
        <v>6278.09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5106133.71</v>
      </c>
      <c r="E33" s="246">
        <f>SUM(E5:E31)</f>
        <v>201035.89999999997</v>
      </c>
      <c r="F33" s="246">
        <f>SUM(F5:F31)</f>
        <v>77316.610000000015</v>
      </c>
      <c r="G33" s="246">
        <f>SUM(G5:G31)</f>
        <v>72763.61</v>
      </c>
      <c r="H33" s="246">
        <f>SUM(H5:H31)</f>
        <v>1080981.26</v>
      </c>
    </row>
    <row r="35" spans="2:8" ht="12" thickBot="1" x14ac:dyDescent="0.25">
      <c r="B35" s="253" t="s">
        <v>847</v>
      </c>
      <c r="D35" s="254">
        <f>E33</f>
        <v>201035.89999999997</v>
      </c>
      <c r="E35" s="249"/>
    </row>
    <row r="36" spans="2:8" ht="12" thickTop="1" x14ac:dyDescent="0.2">
      <c r="B36" t="s">
        <v>815</v>
      </c>
      <c r="D36" s="20">
        <f>D33</f>
        <v>5106133.71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PROFILE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238745.15</v>
      </c>
      <c r="D8" s="95">
        <f>'DOE25'!G9</f>
        <v>-12731.99</v>
      </c>
      <c r="E8" s="95">
        <f>'DOE25'!H9</f>
        <v>-8885.64</v>
      </c>
      <c r="F8" s="95">
        <f>'DOE25'!I9</f>
        <v>0</v>
      </c>
      <c r="G8" s="95">
        <f>'DOE25'!J9</f>
        <v>281638.26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7747.1</v>
      </c>
      <c r="E12" s="95">
        <f>'DOE25'!H13</f>
        <v>8885.64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4377.8599999999997</v>
      </c>
      <c r="D13" s="95">
        <f>'DOE25'!G14</f>
        <v>7143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243123.00999999998</v>
      </c>
      <c r="D18" s="41">
        <f>SUM(D8:D17)</f>
        <v>2158.1100000000006</v>
      </c>
      <c r="E18" s="41">
        <f>SUM(E8:E17)</f>
        <v>0</v>
      </c>
      <c r="F18" s="41">
        <f>SUM(F8:F17)</f>
        <v>0</v>
      </c>
      <c r="G18" s="41">
        <f>SUM(G8:G17)</f>
        <v>281638.26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66193.27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66193.27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281638.26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2158.11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151929.74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176929.74</v>
      </c>
      <c r="D49" s="41">
        <f>SUM(D34:D48)</f>
        <v>2158.11</v>
      </c>
      <c r="E49" s="41">
        <f>SUM(E34:E48)</f>
        <v>0</v>
      </c>
      <c r="F49" s="41">
        <f>SUM(F34:F48)</f>
        <v>0</v>
      </c>
      <c r="G49" s="41">
        <f>SUM(G34:G48)</f>
        <v>281638.26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243123.01</v>
      </c>
      <c r="D50" s="41">
        <f>D49+D31</f>
        <v>2158.11</v>
      </c>
      <c r="E50" s="41">
        <f>E49+E31</f>
        <v>0</v>
      </c>
      <c r="F50" s="41">
        <f>F49+F31</f>
        <v>0</v>
      </c>
      <c r="G50" s="41">
        <f>G49+G31</f>
        <v>281638.26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4022989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311.37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205.51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90260.09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25784.23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26095.599999999999</v>
      </c>
      <c r="D61" s="130">
        <f>SUM(D56:D60)</f>
        <v>90260.09</v>
      </c>
      <c r="E61" s="130">
        <f>SUM(E56:E60)</f>
        <v>0</v>
      </c>
      <c r="F61" s="130">
        <f>SUM(F56:F60)</f>
        <v>0</v>
      </c>
      <c r="G61" s="130">
        <f>SUM(G56:G60)</f>
        <v>205.51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4049084.6</v>
      </c>
      <c r="D62" s="22">
        <f>D55+D61</f>
        <v>90260.09</v>
      </c>
      <c r="E62" s="22">
        <f>E55+E61</f>
        <v>0</v>
      </c>
      <c r="F62" s="22">
        <f>F55+F61</f>
        <v>0</v>
      </c>
      <c r="G62" s="22">
        <f>G55+G61</f>
        <v>205.51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670766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935503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1606269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356030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26822.06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2405.12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1149.74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385257.18</v>
      </c>
      <c r="D77" s="130">
        <f>SUM(D71:D76)</f>
        <v>1149.74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1991526.18</v>
      </c>
      <c r="D80" s="130">
        <f>SUM(D78:D79)+D77+D69</f>
        <v>1149.74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30325.29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51121.82</v>
      </c>
      <c r="D87" s="95">
        <f>SUM('DOE25'!G152:G160)</f>
        <v>44725.46</v>
      </c>
      <c r="E87" s="95">
        <f>SUM('DOE25'!H152:H160)</f>
        <v>142788.78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621.24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51743.06</v>
      </c>
      <c r="D90" s="131">
        <f>SUM(D84:D89)</f>
        <v>44725.46</v>
      </c>
      <c r="E90" s="131">
        <f>SUM(E84:E89)</f>
        <v>173114.07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25000</v>
      </c>
    </row>
    <row r="103" spans="1:7" ht="12.75" thickTop="1" thickBot="1" x14ac:dyDescent="0.25">
      <c r="A103" s="33" t="s">
        <v>765</v>
      </c>
      <c r="C103" s="86">
        <f>C62+C80+C90+C102</f>
        <v>6092353.8399999999</v>
      </c>
      <c r="D103" s="86">
        <f>D62+D80+D90+D102</f>
        <v>136135.29</v>
      </c>
      <c r="E103" s="86">
        <f>E62+E80+E90+E102</f>
        <v>173114.07</v>
      </c>
      <c r="F103" s="86">
        <f>F62+F80+F90+F102</f>
        <v>0</v>
      </c>
      <c r="G103" s="86">
        <f>G62+G80+G102</f>
        <v>25205.51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1900484.1800000002</v>
      </c>
      <c r="D108" s="24" t="s">
        <v>289</v>
      </c>
      <c r="E108" s="95">
        <f>('DOE25'!L275)+('DOE25'!L294)+('DOE25'!L313)</f>
        <v>30325.29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1016331.2100000001</v>
      </c>
      <c r="D109" s="24" t="s">
        <v>289</v>
      </c>
      <c r="E109" s="95">
        <f>('DOE25'!L276)+('DOE25'!L295)+('DOE25'!L314)</f>
        <v>127807.88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192577.69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173902.90999999997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3283295.99</v>
      </c>
      <c r="D114" s="86">
        <f>SUM(D108:D113)</f>
        <v>0</v>
      </c>
      <c r="E114" s="86">
        <f>SUM(E108:E113)</f>
        <v>158133.17000000001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256190.35</v>
      </c>
      <c r="D117" s="24" t="s">
        <v>289</v>
      </c>
      <c r="E117" s="95">
        <f>+('DOE25'!L280)+('DOE25'!L299)+('DOE25'!L318)</f>
        <v>5656.9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211245.27999999997</v>
      </c>
      <c r="D118" s="24" t="s">
        <v>289</v>
      </c>
      <c r="E118" s="95">
        <f>+('DOE25'!L281)+('DOE25'!L300)+('DOE25'!L319)</f>
        <v>5021.05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306608.77999999997</v>
      </c>
      <c r="D119" s="24" t="s">
        <v>289</v>
      </c>
      <c r="E119" s="95">
        <f>+('DOE25'!L282)+('DOE25'!L301)+('DOE25'!L320)</f>
        <v>4302.95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393233.9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603271.52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86840.94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135547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1857390.77</v>
      </c>
      <c r="D127" s="86">
        <f>SUM(D117:D126)</f>
        <v>135547</v>
      </c>
      <c r="E127" s="86">
        <f>SUM(E117:E126)</f>
        <v>14980.900000000001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650000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430981.26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25205.51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-205.5099999999984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22236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1128217.26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6268904.0199999996</v>
      </c>
      <c r="D144" s="86">
        <f>(D114+D127+D143)</f>
        <v>135547</v>
      </c>
      <c r="E144" s="86">
        <f>(E114+E127+E143)</f>
        <v>173114.07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01/07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01/27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12948800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9700000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9700000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650000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650000</v>
      </c>
    </row>
    <row r="158" spans="1:9" x14ac:dyDescent="0.2">
      <c r="A158" s="22" t="s">
        <v>35</v>
      </c>
      <c r="B158" s="137">
        <f>'DOE25'!F497</f>
        <v>9050000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9050000</v>
      </c>
    </row>
    <row r="159" spans="1:9" x14ac:dyDescent="0.2">
      <c r="A159" s="22" t="s">
        <v>36</v>
      </c>
      <c r="B159" s="137">
        <f>'DOE25'!F498</f>
        <v>2852593.86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2852593.86</v>
      </c>
    </row>
    <row r="160" spans="1:9" x14ac:dyDescent="0.2">
      <c r="A160" s="22" t="s">
        <v>37</v>
      </c>
      <c r="B160" s="137">
        <f>'DOE25'!F499</f>
        <v>11902593.859999999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11902593.859999999</v>
      </c>
    </row>
    <row r="161" spans="1:7" x14ac:dyDescent="0.2">
      <c r="A161" s="22" t="s">
        <v>38</v>
      </c>
      <c r="B161" s="137">
        <f>'DOE25'!F500</f>
        <v>650000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650000</v>
      </c>
    </row>
    <row r="162" spans="1:7" x14ac:dyDescent="0.2">
      <c r="A162" s="22" t="s">
        <v>39</v>
      </c>
      <c r="B162" s="137">
        <f>'DOE25'!F501</f>
        <v>398481.26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398481.26</v>
      </c>
    </row>
    <row r="163" spans="1:7" x14ac:dyDescent="0.2">
      <c r="A163" s="22" t="s">
        <v>246</v>
      </c>
      <c r="B163" s="137">
        <f>'DOE25'!F502</f>
        <v>1048481.26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1048481.26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PROFILE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21483</v>
      </c>
    </row>
    <row r="6" spans="1:4" x14ac:dyDescent="0.2">
      <c r="B6" t="s">
        <v>62</v>
      </c>
      <c r="C6" s="179">
        <f>IF('DOE25'!H664+'DOE25'!H669=0,0,ROUND('DOE25'!H671,0))</f>
        <v>17184</v>
      </c>
    </row>
    <row r="7" spans="1:4" x14ac:dyDescent="0.2">
      <c r="B7" t="s">
        <v>705</v>
      </c>
      <c r="C7" s="179">
        <f>IF('DOE25'!I664+'DOE25'!I669=0,0,ROUND('DOE25'!I671,0))</f>
        <v>18654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1930809</v>
      </c>
      <c r="D10" s="182">
        <f>ROUND((C10/$C$28)*100,1)</f>
        <v>33.200000000000003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1144139</v>
      </c>
      <c r="D11" s="182">
        <f>ROUND((C11/$C$28)*100,1)</f>
        <v>19.7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192578</v>
      </c>
      <c r="D12" s="182">
        <f>ROUND((C12/$C$28)*100,1)</f>
        <v>3.3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173903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261847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216266</v>
      </c>
      <c r="D16" s="182">
        <f t="shared" si="0"/>
        <v>3.7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310912</v>
      </c>
      <c r="D17" s="182">
        <f t="shared" si="0"/>
        <v>5.3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393234</v>
      </c>
      <c r="D18" s="182">
        <f t="shared" si="0"/>
        <v>6.8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603272</v>
      </c>
      <c r="D20" s="182">
        <f t="shared" si="0"/>
        <v>10.4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86841</v>
      </c>
      <c r="D21" s="182">
        <f t="shared" si="0"/>
        <v>1.5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430981</v>
      </c>
      <c r="D25" s="182">
        <f t="shared" si="0"/>
        <v>7.4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22236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45286.91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5812304.9100000001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5812304.9100000001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650000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4022989</v>
      </c>
      <c r="D35" s="182">
        <f t="shared" ref="D35:D40" si="1">ROUND((C35/$C$41)*100,1)</f>
        <v>63.7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26301.10999999987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1606269</v>
      </c>
      <c r="D37" s="182">
        <f t="shared" si="1"/>
        <v>25.4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386407</v>
      </c>
      <c r="D38" s="182">
        <f t="shared" si="1"/>
        <v>6.1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269583</v>
      </c>
      <c r="D39" s="182">
        <f t="shared" si="1"/>
        <v>4.3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6311549.1099999994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PROFILE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2013-09-17T14:12:21Z</cp:lastPrinted>
  <dcterms:created xsi:type="dcterms:W3CDTF">1997-12-04T19:04:30Z</dcterms:created>
  <dcterms:modified xsi:type="dcterms:W3CDTF">2013-12-05T18:57:22Z</dcterms:modified>
</cp:coreProperties>
</file>