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9" i="1" l="1"/>
  <c r="I314" i="1"/>
  <c r="G314" i="1"/>
  <c r="H319" i="1"/>
  <c r="J314" i="1"/>
  <c r="F314" i="1"/>
  <c r="J313" i="1"/>
  <c r="J295" i="1"/>
  <c r="G295" i="1"/>
  <c r="F295" i="1"/>
  <c r="J294" i="1"/>
  <c r="I294" i="1"/>
  <c r="I313" i="1"/>
  <c r="J276" i="1"/>
  <c r="G276" i="1"/>
  <c r="F276" i="1"/>
  <c r="J275" i="1"/>
  <c r="I275" i="1"/>
  <c r="H275" i="1"/>
  <c r="G275" i="1"/>
  <c r="F275" i="1"/>
  <c r="H294" i="1"/>
  <c r="G294" i="1"/>
  <c r="F294" i="1"/>
  <c r="I299" i="1"/>
  <c r="G299" i="1"/>
  <c r="F299" i="1"/>
  <c r="H324" i="1"/>
  <c r="H318" i="1"/>
  <c r="G313" i="1"/>
  <c r="F313" i="1"/>
  <c r="J603" i="1"/>
  <c r="I603" i="1"/>
  <c r="H603" i="1"/>
  <c r="G612" i="1"/>
  <c r="J591" i="1"/>
  <c r="I591" i="1"/>
  <c r="H591" i="1"/>
  <c r="H366" i="1"/>
  <c r="G366" i="1"/>
  <c r="F366" i="1"/>
  <c r="H367" i="1"/>
  <c r="G367" i="1"/>
  <c r="F367" i="1"/>
  <c r="F520" i="1"/>
  <c r="K527" i="1"/>
  <c r="K526" i="1"/>
  <c r="K525" i="1"/>
  <c r="H527" i="1"/>
  <c r="H526" i="1"/>
  <c r="H525" i="1"/>
  <c r="J527" i="1"/>
  <c r="I527" i="1"/>
  <c r="J526" i="1"/>
  <c r="J525" i="1"/>
  <c r="G527" i="1"/>
  <c r="G526" i="1"/>
  <c r="G525" i="1"/>
  <c r="F527" i="1"/>
  <c r="F526" i="1"/>
  <c r="F525" i="1"/>
  <c r="G522" i="1"/>
  <c r="F522" i="1"/>
  <c r="G521" i="1"/>
  <c r="F521" i="1"/>
  <c r="G520" i="1"/>
  <c r="I563" i="1"/>
  <c r="G563" i="1"/>
  <c r="F563" i="1"/>
  <c r="I562" i="1"/>
  <c r="G562" i="1"/>
  <c r="F562" i="1"/>
  <c r="I561" i="1"/>
  <c r="G561" i="1"/>
  <c r="F561" i="1"/>
  <c r="H542" i="1"/>
  <c r="H541" i="1"/>
  <c r="H540" i="1"/>
  <c r="H537" i="1"/>
  <c r="H536" i="1"/>
  <c r="H535" i="1"/>
  <c r="K532" i="1"/>
  <c r="H532" i="1"/>
  <c r="G532" i="1"/>
  <c r="F532" i="1"/>
  <c r="K531" i="1"/>
  <c r="H531" i="1"/>
  <c r="G531" i="1"/>
  <c r="F531" i="1"/>
  <c r="K530" i="1"/>
  <c r="H530" i="1"/>
  <c r="G530" i="1"/>
  <c r="F530" i="1"/>
  <c r="I526" i="1"/>
  <c r="I525" i="1"/>
  <c r="K520" i="1"/>
  <c r="K522" i="1"/>
  <c r="J522" i="1"/>
  <c r="I522" i="1"/>
  <c r="H522" i="1"/>
  <c r="K521" i="1"/>
  <c r="J521" i="1"/>
  <c r="I521" i="1"/>
  <c r="H521" i="1"/>
  <c r="J520" i="1"/>
  <c r="I520" i="1"/>
  <c r="H520" i="1"/>
  <c r="F24" i="1"/>
  <c r="F28" i="1"/>
  <c r="F9" i="1"/>
  <c r="H300" i="1"/>
  <c r="H281" i="1"/>
  <c r="J319" i="1"/>
  <c r="I319" i="1"/>
  <c r="G319" i="1"/>
  <c r="F319" i="1"/>
  <c r="J300" i="1"/>
  <c r="I300" i="1"/>
  <c r="G300" i="1"/>
  <c r="F300" i="1"/>
  <c r="J281" i="1"/>
  <c r="I281" i="1"/>
  <c r="G281" i="1"/>
  <c r="F281" i="1"/>
  <c r="H244" i="1"/>
  <c r="H226" i="1"/>
  <c r="H208" i="1"/>
  <c r="H243" i="1"/>
  <c r="H225" i="1"/>
  <c r="H207" i="1"/>
  <c r="J242" i="1"/>
  <c r="I242" i="1"/>
  <c r="H242" i="1"/>
  <c r="G242" i="1"/>
  <c r="F242" i="1"/>
  <c r="J224" i="1"/>
  <c r="I224" i="1"/>
  <c r="H224" i="1"/>
  <c r="G224" i="1"/>
  <c r="F224" i="1"/>
  <c r="J206" i="1"/>
  <c r="I206" i="1"/>
  <c r="H206" i="1"/>
  <c r="G206" i="1"/>
  <c r="F206" i="1"/>
  <c r="K241" i="1"/>
  <c r="H241" i="1"/>
  <c r="G241" i="1"/>
  <c r="F241" i="1"/>
  <c r="K223" i="1"/>
  <c r="H223" i="1"/>
  <c r="G223" i="1"/>
  <c r="F223" i="1"/>
  <c r="K205" i="1"/>
  <c r="H205" i="1"/>
  <c r="G205" i="1"/>
  <c r="F205" i="1"/>
  <c r="K239" i="1"/>
  <c r="I239" i="1"/>
  <c r="H239" i="1"/>
  <c r="G239" i="1"/>
  <c r="F239" i="1"/>
  <c r="K221" i="1"/>
  <c r="I221" i="1"/>
  <c r="H221" i="1"/>
  <c r="G221" i="1"/>
  <c r="F221" i="1"/>
  <c r="K203" i="1"/>
  <c r="I203" i="1"/>
  <c r="H203" i="1"/>
  <c r="G203" i="1"/>
  <c r="F203" i="1"/>
  <c r="J238" i="1"/>
  <c r="I238" i="1"/>
  <c r="H238" i="1"/>
  <c r="G238" i="1"/>
  <c r="F238" i="1"/>
  <c r="J220" i="1"/>
  <c r="I220" i="1"/>
  <c r="H220" i="1"/>
  <c r="G220" i="1"/>
  <c r="F220" i="1"/>
  <c r="J202" i="1"/>
  <c r="I202" i="1"/>
  <c r="H202" i="1"/>
  <c r="G202" i="1"/>
  <c r="F202" i="1"/>
  <c r="I237" i="1"/>
  <c r="H237" i="1"/>
  <c r="G237" i="1"/>
  <c r="F237" i="1"/>
  <c r="I219" i="1"/>
  <c r="H219" i="1"/>
  <c r="G219" i="1"/>
  <c r="F219" i="1"/>
  <c r="I201" i="1"/>
  <c r="H201" i="1"/>
  <c r="G201" i="1"/>
  <c r="F201" i="1"/>
  <c r="K233" i="1"/>
  <c r="J233" i="1"/>
  <c r="I233" i="1"/>
  <c r="H233" i="1"/>
  <c r="G233" i="1"/>
  <c r="F233" i="1"/>
  <c r="K215" i="1"/>
  <c r="J215" i="1"/>
  <c r="I215" i="1"/>
  <c r="H215" i="1"/>
  <c r="G215" i="1"/>
  <c r="F215" i="1"/>
  <c r="K197" i="1"/>
  <c r="J197" i="1"/>
  <c r="I197" i="1"/>
  <c r="H197" i="1"/>
  <c r="G197" i="1"/>
  <c r="F197" i="1"/>
  <c r="H232" i="1"/>
  <c r="G232" i="1"/>
  <c r="F232" i="1"/>
  <c r="H214" i="1"/>
  <c r="G214" i="1"/>
  <c r="F214" i="1"/>
  <c r="H196" i="1"/>
  <c r="G196" i="1"/>
  <c r="F196" i="1"/>
  <c r="K240" i="1"/>
  <c r="J240" i="1"/>
  <c r="I240" i="1"/>
  <c r="H240" i="1"/>
  <c r="G240" i="1"/>
  <c r="F240" i="1"/>
  <c r="K222" i="1"/>
  <c r="I222" i="1"/>
  <c r="H222" i="1"/>
  <c r="G222" i="1"/>
  <c r="F222" i="1"/>
  <c r="I204" i="1"/>
  <c r="H204" i="1"/>
  <c r="G204" i="1"/>
  <c r="F204" i="1"/>
  <c r="K235" i="1"/>
  <c r="J235" i="1"/>
  <c r="I235" i="1"/>
  <c r="H235" i="1"/>
  <c r="G235" i="1"/>
  <c r="F235" i="1"/>
  <c r="I217" i="1"/>
  <c r="H217" i="1"/>
  <c r="G217" i="1"/>
  <c r="F217" i="1"/>
  <c r="G199" i="1"/>
  <c r="F199" i="1"/>
  <c r="K232" i="1"/>
  <c r="J232" i="1"/>
  <c r="I232" i="1"/>
  <c r="J214" i="1"/>
  <c r="I214" i="1"/>
  <c r="K196" i="1"/>
  <c r="J196" i="1"/>
  <c r="I196" i="1"/>
  <c r="I359" i="1"/>
  <c r="I358" i="1"/>
  <c r="I357" i="1"/>
  <c r="H109" i="1"/>
  <c r="H158" i="1"/>
  <c r="H153" i="1"/>
  <c r="H154" i="1" s="1"/>
  <c r="H161" i="1" s="1"/>
  <c r="G96" i="1"/>
  <c r="J471" i="1"/>
  <c r="J467" i="1"/>
  <c r="H458" i="1"/>
  <c r="G458" i="1"/>
  <c r="G438" i="1"/>
  <c r="G497" i="1"/>
  <c r="F497" i="1"/>
  <c r="C37" i="10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E113" i="2" s="1"/>
  <c r="L334" i="1"/>
  <c r="L259" i="1"/>
  <c r="L260" i="1"/>
  <c r="L340" i="1"/>
  <c r="L341" i="1"/>
  <c r="L254" i="1"/>
  <c r="L335" i="1"/>
  <c r="C11" i="13"/>
  <c r="C10" i="13"/>
  <c r="C9" i="13"/>
  <c r="L360" i="1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8" i="2"/>
  <c r="G60" i="2"/>
  <c r="F2" i="11"/>
  <c r="L612" i="1"/>
  <c r="H662" i="1" s="1"/>
  <c r="L611" i="1"/>
  <c r="G662" i="1" s="1"/>
  <c r="L610" i="1"/>
  <c r="F662" i="1" s="1"/>
  <c r="I662" i="1" s="1"/>
  <c r="C40" i="10"/>
  <c r="F59" i="1"/>
  <c r="G59" i="1"/>
  <c r="H59" i="1"/>
  <c r="I59" i="1"/>
  <c r="F78" i="1"/>
  <c r="F93" i="1"/>
  <c r="F110" i="1"/>
  <c r="G110" i="1"/>
  <c r="G111" i="1"/>
  <c r="H78" i="1"/>
  <c r="H93" i="1"/>
  <c r="E57" i="2" s="1"/>
  <c r="H110" i="1"/>
  <c r="I110" i="1"/>
  <c r="I111" i="1" s="1"/>
  <c r="J110" i="1"/>
  <c r="F120" i="1"/>
  <c r="F135" i="1"/>
  <c r="G120" i="1"/>
  <c r="G135" i="1"/>
  <c r="H120" i="1"/>
  <c r="H135" i="1"/>
  <c r="I120" i="1"/>
  <c r="I135" i="1"/>
  <c r="J120" i="1"/>
  <c r="J135" i="1"/>
  <c r="F146" i="1"/>
  <c r="C84" i="2" s="1"/>
  <c r="F161" i="1"/>
  <c r="G146" i="1"/>
  <c r="G161" i="1"/>
  <c r="H146" i="1"/>
  <c r="E84" i="2" s="1"/>
  <c r="I146" i="1"/>
  <c r="I161" i="1"/>
  <c r="C10" i="10"/>
  <c r="C12" i="10"/>
  <c r="C15" i="10"/>
  <c r="C19" i="10"/>
  <c r="C21" i="10"/>
  <c r="L249" i="1"/>
  <c r="L331" i="1"/>
  <c r="L253" i="1"/>
  <c r="C25" i="10"/>
  <c r="L267" i="1"/>
  <c r="C141" i="2" s="1"/>
  <c r="L268" i="1"/>
  <c r="L348" i="1"/>
  <c r="L349" i="1"/>
  <c r="I664" i="1"/>
  <c r="I669" i="1"/>
  <c r="L210" i="1"/>
  <c r="L246" i="1"/>
  <c r="G660" i="1"/>
  <c r="F661" i="1"/>
  <c r="H661" i="1"/>
  <c r="I668" i="1"/>
  <c r="C4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G22" i="2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C34" i="2"/>
  <c r="D34" i="2"/>
  <c r="E34" i="2"/>
  <c r="F34" i="2"/>
  <c r="C35" i="2"/>
  <c r="D35" i="2"/>
  <c r="E35" i="2"/>
  <c r="F35" i="2"/>
  <c r="I453" i="1"/>
  <c r="J48" i="1"/>
  <c r="G47" i="2" s="1"/>
  <c r="I455" i="1"/>
  <c r="I456" i="1"/>
  <c r="J37" i="1" s="1"/>
  <c r="I458" i="1"/>
  <c r="J47" i="1" s="1"/>
  <c r="G46" i="2"/>
  <c r="C48" i="2"/>
  <c r="C55" i="2"/>
  <c r="D55" i="2"/>
  <c r="E55" i="2"/>
  <c r="F55" i="2"/>
  <c r="C56" i="2"/>
  <c r="E56" i="2"/>
  <c r="C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D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C110" i="2"/>
  <c r="E110" i="2"/>
  <c r="C111" i="2"/>
  <c r="C112" i="2"/>
  <c r="C113" i="2"/>
  <c r="D114" i="2"/>
  <c r="F114" i="2"/>
  <c r="G114" i="2"/>
  <c r="C117" i="2"/>
  <c r="E117" i="2"/>
  <c r="C118" i="2"/>
  <c r="C119" i="2"/>
  <c r="E119" i="2"/>
  <c r="C120" i="2"/>
  <c r="C121" i="2"/>
  <c r="E121" i="2"/>
  <c r="C122" i="2"/>
  <c r="C123" i="2"/>
  <c r="E123" i="2"/>
  <c r="C124" i="2"/>
  <c r="D126" i="2"/>
  <c r="D127" i="2" s="1"/>
  <c r="F127" i="2"/>
  <c r="G127" i="2"/>
  <c r="C129" i="2"/>
  <c r="E129" i="2"/>
  <c r="F129" i="2"/>
  <c r="D133" i="2"/>
  <c r="D143" i="2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/>
  <c r="G499" i="1"/>
  <c r="C160" i="2"/>
  <c r="H499" i="1"/>
  <c r="D160" i="2"/>
  <c r="I499" i="1"/>
  <c r="E160" i="2"/>
  <c r="J499" i="1"/>
  <c r="F160" i="2"/>
  <c r="B161" i="2"/>
  <c r="C161" i="2"/>
  <c r="D161" i="2"/>
  <c r="E161" i="2"/>
  <c r="F161" i="2"/>
  <c r="B162" i="2"/>
  <c r="C162" i="2"/>
  <c r="D162" i="2"/>
  <c r="E162" i="2"/>
  <c r="F162" i="2"/>
  <c r="F502" i="1"/>
  <c r="B163" i="2"/>
  <c r="G502" i="1"/>
  <c r="C163" i="2"/>
  <c r="H502" i="1"/>
  <c r="D163" i="2"/>
  <c r="I502" i="1"/>
  <c r="E163" i="2"/>
  <c r="J502" i="1"/>
  <c r="F163" i="2"/>
  <c r="F19" i="1"/>
  <c r="G19" i="1"/>
  <c r="G617" i="1" s="1"/>
  <c r="H19" i="1"/>
  <c r="I19" i="1"/>
  <c r="G619" i="1" s="1"/>
  <c r="F32" i="1"/>
  <c r="G32" i="1"/>
  <c r="H32" i="1"/>
  <c r="I32" i="1"/>
  <c r="F50" i="1"/>
  <c r="F51" i="1"/>
  <c r="H616" i="1" s="1"/>
  <c r="G50" i="1"/>
  <c r="H50" i="1"/>
  <c r="H51" i="1" s="1"/>
  <c r="H618" i="1" s="1"/>
  <c r="I50" i="1"/>
  <c r="F176" i="1"/>
  <c r="I176" i="1"/>
  <c r="F182" i="1"/>
  <c r="G182" i="1"/>
  <c r="H182" i="1"/>
  <c r="I182" i="1"/>
  <c r="J182" i="1"/>
  <c r="J191" i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L336" i="1" s="1"/>
  <c r="J336" i="1"/>
  <c r="J337" i="1"/>
  <c r="J351" i="1" s="1"/>
  <c r="K336" i="1"/>
  <c r="F361" i="1"/>
  <c r="G361" i="1"/>
  <c r="H361" i="1"/>
  <c r="I361" i="1"/>
  <c r="G633" i="1" s="1"/>
  <c r="J361" i="1"/>
  <c r="K361" i="1"/>
  <c r="I367" i="1"/>
  <c r="F368" i="1"/>
  <c r="G368" i="1"/>
  <c r="H368" i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638" i="1" s="1"/>
  <c r="G445" i="1"/>
  <c r="H445" i="1"/>
  <c r="G640" i="1" s="1"/>
  <c r="F451" i="1"/>
  <c r="G451" i="1"/>
  <c r="H451" i="1"/>
  <c r="F459" i="1"/>
  <c r="F460" i="1" s="1"/>
  <c r="H638" i="1" s="1"/>
  <c r="J638" i="1" s="1"/>
  <c r="G459" i="1"/>
  <c r="H459" i="1"/>
  <c r="H460" i="1" s="1"/>
  <c r="H640" i="1" s="1"/>
  <c r="J640" i="1" s="1"/>
  <c r="G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/>
  <c r="I597" i="1"/>
  <c r="H649" i="1"/>
  <c r="J597" i="1"/>
  <c r="H650" i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8" i="1"/>
  <c r="G621" i="1"/>
  <c r="G623" i="1"/>
  <c r="H626" i="1"/>
  <c r="H627" i="1"/>
  <c r="H628" i="1"/>
  <c r="H629" i="1"/>
  <c r="H630" i="1"/>
  <c r="H631" i="1"/>
  <c r="H632" i="1"/>
  <c r="H634" i="1"/>
  <c r="H635" i="1"/>
  <c r="H636" i="1"/>
  <c r="H637" i="1"/>
  <c r="G639" i="1"/>
  <c r="H639" i="1"/>
  <c r="G642" i="1"/>
  <c r="H642" i="1"/>
  <c r="G643" i="1"/>
  <c r="H643" i="1"/>
  <c r="G644" i="1"/>
  <c r="H644" i="1"/>
  <c r="G648" i="1"/>
  <c r="G649" i="1"/>
  <c r="G650" i="1"/>
  <c r="G651" i="1"/>
  <c r="H651" i="1"/>
  <c r="G652" i="1"/>
  <c r="H652" i="1"/>
  <c r="G653" i="1"/>
  <c r="H653" i="1"/>
  <c r="H654" i="1"/>
  <c r="F191" i="1"/>
  <c r="I256" i="1"/>
  <c r="I270" i="1" s="1"/>
  <c r="G163" i="2"/>
  <c r="C18" i="2"/>
  <c r="C26" i="10"/>
  <c r="L350" i="1"/>
  <c r="L289" i="1"/>
  <c r="A31" i="12"/>
  <c r="C69" i="2"/>
  <c r="A40" i="12"/>
  <c r="D12" i="13"/>
  <c r="C12" i="13"/>
  <c r="D61" i="2"/>
  <c r="D62" i="2" s="1"/>
  <c r="E49" i="2"/>
  <c r="D18" i="13"/>
  <c r="C18" i="13"/>
  <c r="D15" i="13"/>
  <c r="C15" i="13"/>
  <c r="D7" i="13"/>
  <c r="C7" i="13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C127" i="2"/>
  <c r="C77" i="2"/>
  <c r="C80" i="2" s="1"/>
  <c r="D49" i="2"/>
  <c r="G156" i="2"/>
  <c r="F49" i="2"/>
  <c r="F18" i="2"/>
  <c r="G162" i="2"/>
  <c r="G157" i="2"/>
  <c r="E143" i="2"/>
  <c r="G102" i="2"/>
  <c r="E102" i="2"/>
  <c r="C102" i="2"/>
  <c r="D90" i="2"/>
  <c r="F90" i="2"/>
  <c r="E61" i="2"/>
  <c r="E62" i="2" s="1"/>
  <c r="C61" i="2"/>
  <c r="C62" i="2" s="1"/>
  <c r="C103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J616" i="1"/>
  <c r="E77" i="2"/>
  <c r="E80" i="2" s="1"/>
  <c r="L426" i="1"/>
  <c r="J256" i="1"/>
  <c r="J270" i="1" s="1"/>
  <c r="H111" i="1"/>
  <c r="F111" i="1"/>
  <c r="K604" i="1"/>
  <c r="G647" i="1" s="1"/>
  <c r="J570" i="1"/>
  <c r="K570" i="1"/>
  <c r="L432" i="1"/>
  <c r="L433" i="1" s="1"/>
  <c r="G637" i="1" s="1"/>
  <c r="J637" i="1" s="1"/>
  <c r="L418" i="1"/>
  <c r="D80" i="2"/>
  <c r="I168" i="1"/>
  <c r="H168" i="1"/>
  <c r="E50" i="2"/>
  <c r="J643" i="1"/>
  <c r="J642" i="1"/>
  <c r="J475" i="1"/>
  <c r="H625" i="1"/>
  <c r="H475" i="1"/>
  <c r="H623" i="1"/>
  <c r="F475" i="1"/>
  <c r="H621" i="1" s="1"/>
  <c r="J621" i="1" s="1"/>
  <c r="I475" i="1"/>
  <c r="H624" i="1" s="1"/>
  <c r="G475" i="1"/>
  <c r="H622" i="1" s="1"/>
  <c r="G337" i="1"/>
  <c r="G351" i="1"/>
  <c r="F168" i="1"/>
  <c r="J139" i="1"/>
  <c r="F570" i="1"/>
  <c r="H256" i="1"/>
  <c r="H270" i="1" s="1"/>
  <c r="K597" i="1"/>
  <c r="G646" i="1"/>
  <c r="K544" i="1"/>
  <c r="C29" i="10"/>
  <c r="H139" i="1"/>
  <c r="L400" i="1"/>
  <c r="C138" i="2" s="1"/>
  <c r="L392" i="1"/>
  <c r="C137" i="2" s="1"/>
  <c r="A13" i="12"/>
  <c r="F22" i="13"/>
  <c r="H25" i="13"/>
  <c r="C25" i="13" s="1"/>
  <c r="J650" i="1"/>
  <c r="J639" i="1"/>
  <c r="H570" i="1"/>
  <c r="L559" i="1"/>
  <c r="J544" i="1"/>
  <c r="H337" i="1"/>
  <c r="H351" i="1"/>
  <c r="F337" i="1"/>
  <c r="F351" i="1"/>
  <c r="H191" i="1"/>
  <c r="C35" i="10"/>
  <c r="L308" i="1"/>
  <c r="D5" i="13"/>
  <c r="C5" i="13" s="1"/>
  <c r="E16" i="13"/>
  <c r="C16" i="13" s="1"/>
  <c r="C49" i="2"/>
  <c r="C50" i="2"/>
  <c r="J654" i="1"/>
  <c r="J644" i="1"/>
  <c r="L569" i="1"/>
  <c r="I570" i="1"/>
  <c r="I544" i="1"/>
  <c r="G36" i="2"/>
  <c r="L564" i="1"/>
  <c r="G544" i="1"/>
  <c r="L544" i="1"/>
  <c r="H544" i="1"/>
  <c r="C22" i="13"/>
  <c r="H33" i="13"/>
  <c r="C24" i="10"/>
  <c r="G31" i="13"/>
  <c r="G33" i="13" s="1"/>
  <c r="I337" i="1"/>
  <c r="I351" i="1" s="1"/>
  <c r="J649" i="1"/>
  <c r="L406" i="1"/>
  <c r="C139" i="2"/>
  <c r="L570" i="1"/>
  <c r="I191" i="1"/>
  <c r="E90" i="2"/>
  <c r="L407" i="1"/>
  <c r="G636" i="1" s="1"/>
  <c r="J636" i="1" s="1"/>
  <c r="D50" i="2"/>
  <c r="J653" i="1"/>
  <c r="J652" i="1"/>
  <c r="J433" i="1"/>
  <c r="F433" i="1"/>
  <c r="K433" i="1"/>
  <c r="G133" i="2" s="1"/>
  <c r="G143" i="2" s="1"/>
  <c r="G144" i="2" s="1"/>
  <c r="F31" i="13"/>
  <c r="F33" i="13" s="1"/>
  <c r="H192" i="1"/>
  <c r="G628" i="1" s="1"/>
  <c r="J628" i="1" s="1"/>
  <c r="G168" i="1"/>
  <c r="C39" i="10" s="1"/>
  <c r="G139" i="1"/>
  <c r="F139" i="1"/>
  <c r="F192" i="1" s="1"/>
  <c r="G626" i="1" s="1"/>
  <c r="J626" i="1" s="1"/>
  <c r="G16" i="2"/>
  <c r="F544" i="1"/>
  <c r="H433" i="1"/>
  <c r="D102" i="2"/>
  <c r="I139" i="1"/>
  <c r="I192" i="1" s="1"/>
  <c r="G629" i="1" s="1"/>
  <c r="J629" i="1" s="1"/>
  <c r="A22" i="12"/>
  <c r="H647" i="1"/>
  <c r="J651" i="1"/>
  <c r="G570" i="1"/>
  <c r="I433" i="1"/>
  <c r="G433" i="1"/>
  <c r="C27" i="10"/>
  <c r="G634" i="1"/>
  <c r="J634" i="1" s="1"/>
  <c r="C38" i="10"/>
  <c r="E103" i="2" l="1"/>
  <c r="F103" i="2"/>
  <c r="I551" i="1"/>
  <c r="G551" i="1"/>
  <c r="K549" i="1"/>
  <c r="J551" i="1"/>
  <c r="H551" i="1"/>
  <c r="K550" i="1"/>
  <c r="K548" i="1"/>
  <c r="K551" i="1" s="1"/>
  <c r="F551" i="1"/>
  <c r="L255" i="1"/>
  <c r="K256" i="1"/>
  <c r="K270" i="1" s="1"/>
  <c r="G256" i="1"/>
  <c r="G270" i="1" s="1"/>
  <c r="G191" i="1"/>
  <c r="G192" i="1" s="1"/>
  <c r="G627" i="1" s="1"/>
  <c r="J627" i="1" s="1"/>
  <c r="G161" i="2"/>
  <c r="G160" i="2"/>
  <c r="G155" i="2"/>
  <c r="F143" i="2"/>
  <c r="F144" i="2" s="1"/>
  <c r="L269" i="1"/>
  <c r="I368" i="1"/>
  <c r="H633" i="1" s="1"/>
  <c r="J633" i="1" s="1"/>
  <c r="J647" i="1"/>
  <c r="D103" i="2"/>
  <c r="J648" i="1"/>
  <c r="J623" i="1"/>
  <c r="J618" i="1"/>
  <c r="C114" i="2"/>
  <c r="C140" i="2"/>
  <c r="C143" i="2" s="1"/>
  <c r="F31" i="2"/>
  <c r="F50" i="2" s="1"/>
  <c r="J10" i="1"/>
  <c r="I445" i="1"/>
  <c r="G641" i="1" s="1"/>
  <c r="F659" i="1"/>
  <c r="G55" i="2"/>
  <c r="G62" i="2" s="1"/>
  <c r="G103" i="2" s="1"/>
  <c r="J111" i="1"/>
  <c r="C32" i="10"/>
  <c r="L327" i="1"/>
  <c r="E124" i="2"/>
  <c r="E122" i="2"/>
  <c r="E120" i="2"/>
  <c r="E118" i="2"/>
  <c r="E111" i="2"/>
  <c r="E109" i="2"/>
  <c r="K337" i="1"/>
  <c r="K351" i="1" s="1"/>
  <c r="F660" i="1"/>
  <c r="H660" i="1"/>
  <c r="G661" i="1"/>
  <c r="H646" i="1"/>
  <c r="J646" i="1" s="1"/>
  <c r="C20" i="10"/>
  <c r="C18" i="10"/>
  <c r="C16" i="10"/>
  <c r="L228" i="1"/>
  <c r="G659" i="1" s="1"/>
  <c r="C13" i="10"/>
  <c r="C11" i="10"/>
  <c r="G159" i="2"/>
  <c r="H645" i="1"/>
  <c r="E33" i="13"/>
  <c r="D35" i="13" s="1"/>
  <c r="I51" i="1"/>
  <c r="H619" i="1" s="1"/>
  <c r="J619" i="1" s="1"/>
  <c r="G624" i="1"/>
  <c r="J624" i="1" s="1"/>
  <c r="G51" i="1"/>
  <c r="H617" i="1" s="1"/>
  <c r="J617" i="1" s="1"/>
  <c r="G622" i="1"/>
  <c r="J622" i="1" s="1"/>
  <c r="D144" i="2"/>
  <c r="J43" i="1"/>
  <c r="I459" i="1"/>
  <c r="J31" i="1"/>
  <c r="I451" i="1"/>
  <c r="I460" i="1" s="1"/>
  <c r="H641" i="1" s="1"/>
  <c r="L381" i="1"/>
  <c r="G635" i="1" s="1"/>
  <c r="J635" i="1" s="1"/>
  <c r="I661" i="1"/>
  <c r="C23" i="10"/>
  <c r="E112" i="2"/>
  <c r="C17" i="10"/>
  <c r="I660" i="1" l="1"/>
  <c r="E127" i="2"/>
  <c r="C144" i="2"/>
  <c r="E114" i="2"/>
  <c r="E144" i="2" s="1"/>
  <c r="H659" i="1"/>
  <c r="H663" i="1" s="1"/>
  <c r="L337" i="1"/>
  <c r="L351" i="1" s="1"/>
  <c r="G632" i="1" s="1"/>
  <c r="J632" i="1" s="1"/>
  <c r="D31" i="13"/>
  <c r="J192" i="1"/>
  <c r="C36" i="10"/>
  <c r="F663" i="1"/>
  <c r="I659" i="1"/>
  <c r="I663" i="1" s="1"/>
  <c r="J641" i="1"/>
  <c r="J32" i="1"/>
  <c r="G30" i="2"/>
  <c r="G31" i="2" s="1"/>
  <c r="G42" i="2"/>
  <c r="G49" i="2" s="1"/>
  <c r="G50" i="2" s="1"/>
  <c r="J50" i="1"/>
  <c r="C28" i="10"/>
  <c r="G663" i="1"/>
  <c r="L256" i="1"/>
  <c r="L270" i="1" s="1"/>
  <c r="G631" i="1" s="1"/>
  <c r="J631" i="1" s="1"/>
  <c r="G9" i="2"/>
  <c r="G18" i="2" s="1"/>
  <c r="J19" i="1"/>
  <c r="G620" i="1" s="1"/>
  <c r="G671" i="1" l="1"/>
  <c r="C5" i="10" s="1"/>
  <c r="G666" i="1"/>
  <c r="D22" i="10"/>
  <c r="D21" i="10"/>
  <c r="C30" i="10"/>
  <c r="D10" i="10"/>
  <c r="D24" i="10"/>
  <c r="D19" i="10"/>
  <c r="D12" i="10"/>
  <c r="D25" i="10"/>
  <c r="D15" i="10"/>
  <c r="D27" i="10"/>
  <c r="D26" i="10"/>
  <c r="D17" i="10"/>
  <c r="I671" i="1"/>
  <c r="C7" i="10" s="1"/>
  <c r="I666" i="1"/>
  <c r="D36" i="10"/>
  <c r="C41" i="10"/>
  <c r="C31" i="13"/>
  <c r="D33" i="13"/>
  <c r="D36" i="13" s="1"/>
  <c r="H671" i="1"/>
  <c r="C6" i="10" s="1"/>
  <c r="H666" i="1"/>
  <c r="D20" i="10"/>
  <c r="D13" i="10"/>
  <c r="D18" i="10"/>
  <c r="D11" i="10"/>
  <c r="G625" i="1"/>
  <c r="J625" i="1" s="1"/>
  <c r="J51" i="1"/>
  <c r="H620" i="1" s="1"/>
  <c r="J620" i="1" s="1"/>
  <c r="D23" i="10"/>
  <c r="F671" i="1"/>
  <c r="C4" i="10" s="1"/>
  <c r="F666" i="1"/>
  <c r="G645" i="1"/>
  <c r="J645" i="1" s="1"/>
  <c r="G630" i="1"/>
  <c r="J630" i="1" s="1"/>
  <c r="D16" i="10"/>
  <c r="D40" i="10" l="1"/>
  <c r="D37" i="10"/>
  <c r="D35" i="10"/>
  <c r="D39" i="10"/>
  <c r="D38" i="10"/>
  <c r="D28" i="10"/>
  <c r="H655" i="1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<sst xmlns="http://schemas.openxmlformats.org/spreadsheetml/2006/main" count="3985" uniqueCount="927">
  <si>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</si>
  <si>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</si>
  <si>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</si>
  <si>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</si>
  <si>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</si>
  <si>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</si>
  <si>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</si>
  <si>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</si>
  <si>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</si>
  <si>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</si>
  <si>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</si>
  <si>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</si>
  <si>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</si>
  <si>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</si>
  <si>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</si>
  <si>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</si>
  <si>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</si>
  <si>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</si>
  <si>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</si>
  <si>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</si>
  <si>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</si>
  <si>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</si>
  <si>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</si>
  <si>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</si>
  <si>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</si>
  <si>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</si>
  <si>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</si>
  <si>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</si>
  <si>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</si>
  <si>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</si>
  <si>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</si>
  <si>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</si>
  <si>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</si>
  <si>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</si>
  <si>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</si>
  <si>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</si>
  <si>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</si>
  <si>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</si>
  <si>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</si>
  <si>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</si>
  <si>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</si>
  <si>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</si>
  <si>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</si>
  <si>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</si>
  <si>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</si>
  <si>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</si>
  <si>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</si>
  <si>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</si>
  <si>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</si>
  <si>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</si>
  <si>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</si>
  <si>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</si>
  <si>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</si>
  <si>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</si>
  <si>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</si>
  <si>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</si>
  <si>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</si>
  <si>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</si>
  <si>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</si>
  <si>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</si>
  <si>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</si>
  <si>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</si>
  <si>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</si>
  <si>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</si>
  <si>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</si>
  <si>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</si>
  <si>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</si>
  <si>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</si>
  <si>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</si>
  <si>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</si>
  <si>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</si>
  <si>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</si>
  <si>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</si>
  <si>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</si>
  <si>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</si>
  <si>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</si>
  <si>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</si>
  <si>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</si>
  <si>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</si>
  <si>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</si>
  <si>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</si>
  <si>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</si>
  <si>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</si>
  <si>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</si>
  <si>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</si>
  <si>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</si>
  <si>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</si>
  <si>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</si>
  <si>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</si>
  <si>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</si>
  <si>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</si>
  <si>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</si>
  <si>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</si>
  <si>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</si>
  <si>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</si>
  <si>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</si>
  <si>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</si>
  <si>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</si>
  <si>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</si>
  <si>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</si>
  <si>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</si>
  <si>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</si>
  <si>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</si>
  <si>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</si>
  <si>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</si>
  <si>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</si>
  <si>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</si>
  <si>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</si>
  <si>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</si>
  <si>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</si>
  <si>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</si>
  <si>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</si>
  <si>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</si>
  <si>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</si>
  <si>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</si>
  <si>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</si>
  <si>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</si>
  <si>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</si>
  <si>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</si>
  <si>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</si>
  <si>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</si>
  <si>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</si>
  <si>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</si>
  <si>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</si>
  <si>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</si>
  <si>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</si>
  <si>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</si>
  <si>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</si>
  <si>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</si>
  <si>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</si>
  <si>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</si>
  <si>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</si>
  <si>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</si>
  <si>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</si>
  <si>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</si>
  <si>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</si>
  <si>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</si>
  <si>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</si>
  <si>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</si>
  <si>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</si>
  <si>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</si>
  <si>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</si>
  <si>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</si>
  <si>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</si>
  <si>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</si>
  <si>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</si>
  <si>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</si>
  <si>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</si>
  <si>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</si>
  <si>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</si>
  <si>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</si>
  <si>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</si>
  <si>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</si>
  <si>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</si>
  <si>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</si>
  <si>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</si>
  <si>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</si>
  <si>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</si>
  <si>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</si>
  <si>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</si>
  <si>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</si>
  <si>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</si>
  <si>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</si>
  <si>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</si>
  <si>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</si>
  <si>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</si>
  <si>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</si>
  <si>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</si>
  <si>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</si>
  <si>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</si>
  <si>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</si>
  <si>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</si>
  <si>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</si>
  <si>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</si>
  <si>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</si>
  <si>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</si>
  <si>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</si>
  <si>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</si>
  <si>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</si>
  <si>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</si>
  <si>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</si>
  <si>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</si>
  <si>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</si>
  <si>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</si>
  <si>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</si>
  <si>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</si>
  <si>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</si>
  <si>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</si>
  <si>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</si>
  <si>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</si>
  <si>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</si>
  <si>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</si>
  <si>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</si>
  <si>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</si>
  <si>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</si>
  <si>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</si>
  <si>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</si>
  <si>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</si>
  <si>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</si>
  <si>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</si>
  <si>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</si>
  <si>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</si>
  <si>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</si>
  <si>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</si>
  <si>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</si>
  <si>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</si>
  <si>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</si>
  <si>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</si>
  <si>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</si>
  <si>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</si>
  <si>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</si>
  <si>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</si>
  <si>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</si>
  <si>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</si>
  <si>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</si>
  <si>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</si>
  <si>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</si>
  <si>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</si>
  <si>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</si>
  <si>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</si>
  <si>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</si>
  <si>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</si>
  <si>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</si>
  <si>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</si>
  <si>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</si>
  <si>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</si>
  <si>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</si>
  <si>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</si>
  <si>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</si>
  <si>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</si>
  <si>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</si>
  <si>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</si>
  <si>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</si>
  <si>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</si>
  <si>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</si>
  <si>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</si>
  <si>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</si>
  <si>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</si>
  <si>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</si>
  <si>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</si>
  <si>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</si>
  <si>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</si>
  <si>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</si>
  <si>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</si>
  <si>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</si>
  <si>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</si>
  <si>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</si>
  <si>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</si>
  <si>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</si>
  <si>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</si>
  <si>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</si>
  <si>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</si>
  <si>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</si>
  <si>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</si>
  <si>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</si>
  <si>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</si>
  <si>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</si>
  <si>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</si>
  <si>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</si>
  <si>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</si>
  <si>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</si>
  <si>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</si>
  <si>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</si>
  <si>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</si>
  <si>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</si>
  <si>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</si>
  <si>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</si>
  <si>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</si>
  <si>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</si>
  <si>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</si>
  <si>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</si>
  <si>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</si>
  <si>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</si>
  <si>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</si>
  <si>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</si>
  <si>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</si>
  <si>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</si>
  <si>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</si>
  <si>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</si>
  <si>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</si>
  <si>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</si>
  <si>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</si>
  <si>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</si>
  <si>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</si>
  <si>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</si>
  <si>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</si>
  <si>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</si>
  <si>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</si>
  <si>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</si>
  <si>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</si>
  <si>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</si>
  <si>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</si>
  <si>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</si>
  <si>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</si>
  <si>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</si>
  <si>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</si>
  <si>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</si>
  <si>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</si>
  <si>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</si>
  <si>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</si>
  <si>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</si>
  <si>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</si>
  <si>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</si>
  <si>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</si>
  <si>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</si>
  <si>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</si>
  <si>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</si>
  <si>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</si>
  <si>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</si>
  <si>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</si>
  <si>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</si>
  <si>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</si>
  <si>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</si>
  <si>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</si>
  <si>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</si>
  <si>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</si>
  <si>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</si>
  <si>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</si>
  <si>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</si>
  <si>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</si>
  <si>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</si>
  <si>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</si>
  <si>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</si>
  <si>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</si>
  <si>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</si>
  <si>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</si>
  <si>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</si>
  <si>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</si>
  <si>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</si>
  <si>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</si>
  <si>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</si>
  <si>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</si>
  <si>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</si>
  <si>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</si>
  <si>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</si>
  <si>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</si>
  <si>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</si>
  <si>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</si>
  <si>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</si>
  <si>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</si>
  <si>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</si>
  <si>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</si>
  <si>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</si>
  <si>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</si>
  <si>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</si>
  <si>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</si>
  <si>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</si>
  <si>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</si>
  <si>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</si>
  <si>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</si>
  <si>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</si>
  <si>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</si>
  <si>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</si>
  <si>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</si>
  <si>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</si>
  <si>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</si>
  <si>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</si>
  <si>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</si>
  <si>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</si>
  <si>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</si>
  <si>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</si>
  <si>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</si>
  <si>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</si>
  <si>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</si>
  <si>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</si>
  <si>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</si>
  <si>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</si>
  <si>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</si>
  <si>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</si>
  <si>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</si>
  <si>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</si>
  <si>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</si>
  <si>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</si>
  <si>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</si>
  <si>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</si>
  <si>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</si>
  <si>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</si>
  <si>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</si>
  <si>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</si>
  <si>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</si>
  <si>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</si>
  <si>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</si>
  <si>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</si>
  <si>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</si>
  <si>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</si>
  <si>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</si>
  <si>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</si>
  <si>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</si>
  <si>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</si>
  <si>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</si>
  <si>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</si>
  <si>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</si>
  <si>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</si>
  <si>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</si>
  <si>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</si>
  <si>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</si>
  <si>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</si>
  <si>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</si>
  <si>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</si>
  <si>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</si>
  <si>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</si>
  <si>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</si>
  <si>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</si>
  <si>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</si>
  <si>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</si>
  <si>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</si>
  <si>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</si>
  <si>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</si>
  <si>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</si>
  <si>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</si>
  <si>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</si>
  <si>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</si>
  <si>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</si>
  <si>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</si>
  <si>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</si>
  <si>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</si>
  <si>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</si>
  <si>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</si>
  <si>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</si>
  <si>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</si>
  <si>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</si>
  <si>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</si>
  <si>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</si>
  <si>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</si>
  <si>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</si>
  <si>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</si>
  <si>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</si>
  <si>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</si>
  <si>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</si>
  <si>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</si>
  <si>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</si>
  <si>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</si>
  <si>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</si>
  <si>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</si>
  <si>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</si>
  <si>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</si>
  <si>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</si>
  <si>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</si>
  <si>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</si>
  <si>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</si>
  <si>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</si>
  <si>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</si>
  <si>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</si>
  <si>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</si>
  <si>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</si>
  <si>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</si>
  <si>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</si>
  <si>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</si>
  <si>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</si>
  <si>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</si>
  <si>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</si>
  <si>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</si>
  <si>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</si>
  <si>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</si>
  <si>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</si>
  <si>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</si>
  <si>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</si>
  <si>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</si>
  <si>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</si>
  <si>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</si>
  <si>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</si>
  <si>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</si>
  <si>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</si>
  <si>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</si>
  <si>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</si>
  <si>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</si>
  <si>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</si>
  <si>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</si>
  <si>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</si>
  <si>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</si>
  <si>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</si>
  <si>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</si>
  <si>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</si>
  <si>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</si>
  <si>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</si>
  <si>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</si>
  <si>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</si>
  <si>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</si>
  <si>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</si>
  <si>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</si>
  <si>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</si>
  <si>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</si>
  <si>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</si>
  <si>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</si>
  <si>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</si>
  <si>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</si>
  <si>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</si>
  <si>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</si>
  <si>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</si>
  <si>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</si>
  <si>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</si>
  <si>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</si>
  <si>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</si>
  <si>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</si>
  <si>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</si>
  <si>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</si>
  <si>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</si>
  <si>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</si>
  <si>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</si>
  <si>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</si>
  <si>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</si>
  <si>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</si>
  <si>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</si>
  <si>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</si>
  <si>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</si>
  <si>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</si>
  <si>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</si>
  <si>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</si>
  <si>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</si>
  <si>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</si>
  <si>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</si>
  <si>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</si>
  <si>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</si>
  <si>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</si>
  <si>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</si>
  <si>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</si>
  <si>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</si>
  <si>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</si>
  <si>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</si>
  <si>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</si>
  <si>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</si>
  <si>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</si>
  <si>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</si>
  <si>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</si>
  <si>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</si>
  <si>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</si>
  <si>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</si>
  <si>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</si>
  <si>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</si>
  <si>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</si>
  <si>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</si>
  <si>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</si>
  <si>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</si>
  <si>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</si>
  <si>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</si>
  <si>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</si>
  <si>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</si>
  <si>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</si>
  <si>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</si>
  <si>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</si>
  <si>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</si>
  <si>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</si>
  <si>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</si>
  <si>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</si>
  <si>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</si>
  <si>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</si>
  <si>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</si>
  <si>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</si>
  <si>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</si>
  <si>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</si>
  <si>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</si>
  <si>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</si>
  <si>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</si>
  <si>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</si>
  <si>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</si>
  <si>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</si>
  <si>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</si>
  <si>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</si>
  <si>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</si>
  <si>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</si>
  <si>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</si>
  <si>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</si>
  <si>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</si>
  <si>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</si>
  <si>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</si>
  <si>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</si>
  <si>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</si>
  <si>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</si>
  <si>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</si>
  <si>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</si>
  <si>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</si>
  <si>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</si>
  <si>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</si>
  <si>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</si>
  <si>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</si>
  <si>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</si>
  <si>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</si>
  <si>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</si>
  <si>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</si>
  <si>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</si>
  <si>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</si>
  <si>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</si>
  <si>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</si>
  <si>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</si>
  <si>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</si>
  <si>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</si>
  <si>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</si>
  <si>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</si>
  <si>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</si>
  <si>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</si>
  <si>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</si>
  <si>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</si>
  <si>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</si>
  <si>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</si>
  <si>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</si>
  <si>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</si>
  <si>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</si>
  <si>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</si>
  <si>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</si>
  <si>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</si>
  <si>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</si>
  <si>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</si>
  <si>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</si>
  <si>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</si>
  <si>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</si>
  <si>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</si>
  <si>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</si>
  <si>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</si>
  <si>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</si>
  <si>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</si>
  <si>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</si>
  <si>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</si>
  <si>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</si>
  <si>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</si>
  <si>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</si>
  <si>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</si>
  <si>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</si>
  <si>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</si>
  <si>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</si>
  <si>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</si>
  <si>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</si>
  <si>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</si>
  <si>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</si>
  <si>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</si>
  <si>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</si>
  <si>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</si>
  <si>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</si>
  <si>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</si>
  <si>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</si>
  <si>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</si>
  <si>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</si>
  <si>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</si>
  <si>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</si>
  <si>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</si>
  <si>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</si>
  <si>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</si>
  <si>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</si>
  <si>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</si>
  <si>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</si>
  <si>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</si>
  <si>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</si>
  <si>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</si>
  <si>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</si>
  <si>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</si>
  <si>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</si>
  <si>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</si>
  <si>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</si>
  <si>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</si>
  <si>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</si>
  <si>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</si>
  <si>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</si>
  <si>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</si>
  <si>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</si>
  <si>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</si>
  <si>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</si>
  <si>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</si>
  <si>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</si>
  <si>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</si>
  <si>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</si>
  <si>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</si>
  <si>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</si>
  <si>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</si>
  <si>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</si>
  <si>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</si>
  <si>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</si>
  <si>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</si>
  <si>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</si>
  <si>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</si>
  <si>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</si>
  <si>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</si>
  <si>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</si>
  <si>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</si>
  <si>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</si>
  <si>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</si>
  <si>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</si>
  <si>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</si>
  <si>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</si>
  <si>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</si>
  <si>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</si>
  <si>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</si>
  <si>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</si>
  <si>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</si>
  <si>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</si>
  <si>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</si>
  <si>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</si>
  <si>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</si>
  <si>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</si>
  <si>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</si>
  <si>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</si>
  <si>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</si>
  <si>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</si>
  <si>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</si>
  <si>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</si>
  <si>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</si>
  <si>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</si>
  <si>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</si>
  <si>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</si>
  <si>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</si>
  <si>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</si>
  <si>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</si>
  <si>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</si>
  <si>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</si>
  <si>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</si>
  <si>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</si>
  <si>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</si>
  <si>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</si>
  <si>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</si>
  <si>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</si>
  <si>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</si>
  <si>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</si>
  <si>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</si>
  <si>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</si>
  <si>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</si>
  <si>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</si>
  <si>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</si>
  <si>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</si>
  <si>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</si>
  <si>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</si>
  <si>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</si>
  <si>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</si>
  <si>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</si>
  <si>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</si>
  <si>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</si>
  <si>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</si>
  <si>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</si>
  <si>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</si>
  <si>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</si>
  <si>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</si>
  <si>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</si>
  <si>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</si>
  <si>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</si>
  <si>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</si>
  <si>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</si>
  <si>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</si>
  <si>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</si>
  <si>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</si>
  <si>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</si>
  <si>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</si>
  <si>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</si>
  <si>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</si>
  <si>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</si>
  <si>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</si>
  <si>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</si>
  <si>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</si>
  <si>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</si>
  <si>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</si>
  <si>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</si>
  <si>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</si>
  <si>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</si>
  <si>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</si>
  <si>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</si>
  <si>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</si>
  <si>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</si>
  <si>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</si>
  <si>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</si>
  <si>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</si>
  <si>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</si>
  <si>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</si>
  <si>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</si>
  <si>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</si>
  <si>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</si>
  <si>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</si>
  <si>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</si>
  <si>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</si>
  <si>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</si>
  <si>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</si>
  <si>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</si>
  <si>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</si>
  <si>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</si>
  <si>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</si>
  <si>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</si>
  <si>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</si>
  <si>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</si>
  <si>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</si>
  <si>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</si>
  <si>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</si>
  <si>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</si>
  <si>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</si>
  <si>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</si>
  <si>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</si>
  <si>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</si>
  <si>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</si>
  <si>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</si>
  <si>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</si>
  <si>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</si>
  <si>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</si>
  <si>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</si>
  <si>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</si>
  <si>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</si>
  <si>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</si>
  <si>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</si>
  <si>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</si>
  <si>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</si>
  <si>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</si>
  <si>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</si>
  <si>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</si>
  <si>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</si>
  <si>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</si>
  <si>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</si>
  <si>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</si>
  <si>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</si>
  <si>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</si>
  <si>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</si>
  <si>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</si>
  <si>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</si>
  <si>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</si>
  <si>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</si>
  <si>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</si>
  <si>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</si>
  <si>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</si>
  <si>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</si>
  <si>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</si>
  <si>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</si>
  <si>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</si>
  <si>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</si>
  <si>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</si>
  <si>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</si>
  <si>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</si>
  <si>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</si>
  <si>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</si>
  <si>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</si>
  <si>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</si>
  <si>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</si>
  <si>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</si>
  <si>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</si>
  <si>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</si>
  <si>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</si>
  <si>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</si>
  <si>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</si>
  <si>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</si>
  <si>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</si>
  <si>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</si>
  <si>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</si>
  <si>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</si>
  <si>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</si>
  <si>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</si>
  <si>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</si>
  <si>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</si>
  <si>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</si>
  <si>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</si>
  <si>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</si>
  <si>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</si>
  <si>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</si>
  <si>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</si>
  <si>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</si>
  <si>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</si>
  <si>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</si>
  <si>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</si>
  <si>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</si>
  <si>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</si>
  <si>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</si>
  <si>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</si>
  <si>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</si>
  <si>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</si>
  <si>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</si>
  <si>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</si>
  <si>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</si>
  <si>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</si>
  <si>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</si>
  <si>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</si>
  <si>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</si>
  <si>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</si>
  <si>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</si>
  <si>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</si>
  <si>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</si>
  <si>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</si>
  <si>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</si>
  <si>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</si>
  <si>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</si>
  <si>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</si>
  <si>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</si>
  <si>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</si>
  <si>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</si>
  <si>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</si>
  <si>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</si>
  <si>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</si>
  <si>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</si>
  <si>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</si>
  <si>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</si>
  <si>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</si>
  <si>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</si>
  <si>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</si>
  <si>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</si>
  <si>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</si>
  <si>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</si>
  <si>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</si>
  <si>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</si>
  <si>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</si>
  <si>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</si>
  <si>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</si>
  <si>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</si>
  <si>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</si>
  <si>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</si>
  <si>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</si>
  <si>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</si>
  <si>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</si>
  <si>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</si>
  <si>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</si>
  <si>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</si>
  <si>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</si>
  <si>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</si>
  <si>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</si>
  <si>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</si>
  <si>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</si>
  <si>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</si>
  <si>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</si>
  <si>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</si>
  <si>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</si>
  <si>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</si>
  <si>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8/05</t>
  </si>
  <si>
    <t>10/03</t>
  </si>
  <si>
    <t>8/25</t>
  </si>
  <si>
    <t>10/13</t>
  </si>
  <si>
    <t>Scholarship Funds</t>
  </si>
  <si>
    <t>Other Assessments from Local Sources of $8,123.00 are Impact Fees received from the Town of Raymond</t>
  </si>
  <si>
    <t>Other Food Service Revenue from Local Sources of $18,228.22 is Catering Sales</t>
  </si>
  <si>
    <t>Other Special Revenue from Local Sources of $61,244.34 is Private Grants</t>
  </si>
  <si>
    <t>Other Restricted State Aid of $9,762.56 is Differentiated Charter School Aid</t>
  </si>
  <si>
    <t>Transfers from Special Revenue Fund of $39,137.80 are Indirect Costs charged to Grants</t>
  </si>
  <si>
    <t>Fund Transfers to General Fund of $39,137.80 are Indirect Costs charged to Grants</t>
  </si>
  <si>
    <t>RAYMOND SCHOOL DISTRICT</t>
  </si>
  <si>
    <t>Reserve for Special Purposes of $25,000.00 is the portion of the current year's Unassigned Fund Balance voted by the</t>
  </si>
  <si>
    <t>Raymond School Board at their 8/21/13 meeting to retain per RSA 198:4-B, II</t>
  </si>
  <si>
    <t>Added on 8-28-13</t>
  </si>
  <si>
    <t>parent paid revenue is comprised from 2 types for $41,028.15:</t>
  </si>
  <si>
    <t xml:space="preserve"> a. pre-school (Parent Paid) $29,826.00</t>
  </si>
  <si>
    <t xml:space="preserve"> b. Tuition differential charge to Candia students attending Raymond High School - $11,202.15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</si>
</sst>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623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920</v>
      </c>
      <c r="B2" s="21">
        <v>453</v>
      </c>
      <c r="C2" s="21">
        <v>453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783875.4+100</f>
        <v>783975.4</v>
      </c>
      <c r="G9" s="18">
        <v>100</v>
      </c>
      <c r="H9" s="18"/>
      <c r="I9" s="18"/>
      <c r="J9" s="67">
        <f>SUM(I438)</f>
        <v>720176.12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9357.42</v>
      </c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128870.65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38638.629999999997</v>
      </c>
      <c r="H13" s="18">
        <v>143786.87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30587.16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952790.63000000012</v>
      </c>
      <c r="G19" s="41">
        <f>SUM(G9:G18)</f>
        <v>38738.629999999997</v>
      </c>
      <c r="H19" s="41">
        <f>SUM(H9:H18)</f>
        <v>143786.87</v>
      </c>
      <c r="I19" s="41">
        <f>SUM(I9:I18)</f>
        <v>0</v>
      </c>
      <c r="J19" s="41">
        <f>SUM(J9:J18)</f>
        <v>720176.12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31087.45</v>
      </c>
      <c r="H22" s="18">
        <v>97783.2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252027.26+239185.57</f>
        <v>491212.83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f>76109.33+999.93+4153.63</f>
        <v>81262.89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125849.31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7651.18</v>
      </c>
      <c r="H30" s="18">
        <v>46003.67</v>
      </c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698325.03</v>
      </c>
      <c r="G32" s="41">
        <f>SUM(G22:G31)</f>
        <v>38738.630000000005</v>
      </c>
      <c r="H32" s="41">
        <f>SUM(H22:H31)</f>
        <v>143786.87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 t="s">
        <v>287</v>
      </c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0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>
        <v>25000</v>
      </c>
      <c r="G47" s="18"/>
      <c r="H47" s="18"/>
      <c r="I47" s="18"/>
      <c r="J47" s="13">
        <f>SUM(I458)</f>
        <v>720176.12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6877.55</v>
      </c>
      <c r="G48" s="18"/>
      <c r="H48" s="18"/>
      <c r="I48" s="18"/>
      <c r="J48" s="13">
        <f>I453</f>
        <v>0</v>
      </c>
      <c r="K48" s="24"/>
      <c r="L48" s="24"/>
      <c r="M48" s="8"/>
      <c r="N48" s="270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247588.05-25000</f>
        <v>222588.05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0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254465.59999999998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720176.12</v>
      </c>
      <c r="K50" s="45" t="s">
        <v>289</v>
      </c>
      <c r="L50" s="45" t="s">
        <v>289</v>
      </c>
      <c r="N50" s="181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952790.63</v>
      </c>
      <c r="G51" s="41">
        <f>G50+G32</f>
        <v>38738.630000000005</v>
      </c>
      <c r="H51" s="41">
        <f>H50+H32</f>
        <v>143786.87</v>
      </c>
      <c r="I51" s="41">
        <f>I50+I32</f>
        <v>0</v>
      </c>
      <c r="J51" s="41">
        <f>J50+J32</f>
        <v>720176.12</v>
      </c>
      <c r="K51" s="45" t="s">
        <v>289</v>
      </c>
      <c r="L51" s="45" t="s">
        <v>289</v>
      </c>
      <c r="M51" s="8"/>
      <c r="N51" s="270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0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0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0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0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11378777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0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>
        <v>8123</v>
      </c>
      <c r="G58" s="18"/>
      <c r="H58" s="18"/>
      <c r="I58" s="18"/>
      <c r="J58" s="18"/>
      <c r="K58" s="24" t="s">
        <v>289</v>
      </c>
      <c r="L58" s="24" t="s">
        <v>289</v>
      </c>
      <c r="M58" s="31"/>
      <c r="N58" s="271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11386900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1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0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41028.15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1950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1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0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53725.8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40672.769999999997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181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137376.72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0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0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0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0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0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0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0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357.21</v>
      </c>
      <c r="G95" s="18"/>
      <c r="H95" s="18"/>
      <c r="I95" s="18"/>
      <c r="J95" s="18">
        <v>5307.09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159505.35+7956.95+104543.77</f>
        <v>272006.07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632.04999999999995</v>
      </c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2560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62.18</v>
      </c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>
        <v>200</v>
      </c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/>
      <c r="G109" s="18">
        <v>18228.22</v>
      </c>
      <c r="H109" s="18">
        <f>42952.16+18292.18</f>
        <v>61244.340000000004</v>
      </c>
      <c r="I109" s="18"/>
      <c r="J109" s="18"/>
      <c r="K109" s="24" t="s">
        <v>289</v>
      </c>
      <c r="L109" s="24" t="s">
        <v>289</v>
      </c>
      <c r="M109" s="8"/>
      <c r="N109" s="270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3811.44</v>
      </c>
      <c r="G110" s="41">
        <f>SUM(G95:G109)</f>
        <v>290234.29000000004</v>
      </c>
      <c r="H110" s="41">
        <f>SUM(H95:H109)</f>
        <v>61244.340000000004</v>
      </c>
      <c r="I110" s="41">
        <f>SUM(I95:I109)</f>
        <v>0</v>
      </c>
      <c r="J110" s="41">
        <f>SUM(J95:J109)</f>
        <v>5307.09</v>
      </c>
      <c r="K110" s="45" t="s">
        <v>289</v>
      </c>
      <c r="L110" s="45" t="s">
        <v>289</v>
      </c>
      <c r="N110" s="181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11528088.16</v>
      </c>
      <c r="G111" s="41">
        <f>G59+G110</f>
        <v>290234.29000000004</v>
      </c>
      <c r="H111" s="41">
        <f>H59+H78+H93+H110</f>
        <v>61244.340000000004</v>
      </c>
      <c r="I111" s="41">
        <f>I59+I110</f>
        <v>0</v>
      </c>
      <c r="J111" s="41">
        <f>J59+J110</f>
        <v>5307.09</v>
      </c>
      <c r="K111" s="45" t="s">
        <v>289</v>
      </c>
      <c r="L111" s="45" t="s">
        <v>289</v>
      </c>
      <c r="M111" s="8"/>
      <c r="N111" s="270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0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0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0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0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5675141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2085381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0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7760522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0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0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448005.71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0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0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301086.86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17889.8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5650.87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0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>
        <v>9762.56</v>
      </c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0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776744.93000000017</v>
      </c>
      <c r="G135" s="41">
        <f>SUM(G122:G134)</f>
        <v>5650.87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0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0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8537266.9299999997</v>
      </c>
      <c r="G139" s="41">
        <f>G120+SUM(G135:G136)</f>
        <v>5650.87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0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0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0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0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0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0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0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283561.16+21415.36</f>
        <v>304976.51999999996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1110063.92+56656.65-H109-H153-H158</f>
        <v>402819.78999999975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221645.31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f>385057.76+8393.99+4228.17</f>
        <v>397679.92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242036.09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242036.09</v>
      </c>
      <c r="G161" s="41">
        <f>SUM(G149:G160)</f>
        <v>221645.31</v>
      </c>
      <c r="H161" s="41">
        <f>SUM(H149:H160)</f>
        <v>1105476.2299999997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0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0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242036.09</v>
      </c>
      <c r="G168" s="41">
        <f>G146+G161+SUM(G162:G167)</f>
        <v>221645.31</v>
      </c>
      <c r="H168" s="41">
        <f>H146+H161+SUM(H162:H167)</f>
        <v>1105476.2299999997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0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0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0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0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0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0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0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28761.23</v>
      </c>
      <c r="H178" s="18"/>
      <c r="I178" s="18"/>
      <c r="J178" s="18">
        <v>195000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>
        <v>39137.800000000003</v>
      </c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39137.800000000003</v>
      </c>
      <c r="G182" s="41">
        <f>SUM(G178:G181)</f>
        <v>28761.23</v>
      </c>
      <c r="H182" s="41">
        <f>SUM(H178:H181)</f>
        <v>0</v>
      </c>
      <c r="I182" s="41">
        <f>SUM(I178:I181)</f>
        <v>0</v>
      </c>
      <c r="J182" s="41">
        <f>SUM(J178:J181)</f>
        <v>195000</v>
      </c>
      <c r="K182" s="45" t="s">
        <v>289</v>
      </c>
      <c r="L182" s="45" t="s">
        <v>289</v>
      </c>
      <c r="M182" s="8"/>
      <c r="N182" s="270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0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181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181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0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39137.800000000003</v>
      </c>
      <c r="G191" s="41">
        <f>G182+SUM(G187:G190)</f>
        <v>28761.23</v>
      </c>
      <c r="H191" s="41">
        <f>+H182+SUM(H187:H190)</f>
        <v>0</v>
      </c>
      <c r="I191" s="41">
        <f>I176+I182+SUM(I187:I190)</f>
        <v>0</v>
      </c>
      <c r="J191" s="41">
        <f>J182</f>
        <v>195000</v>
      </c>
      <c r="K191" s="45" t="s">
        <v>289</v>
      </c>
      <c r="L191" s="45" t="s">
        <v>289</v>
      </c>
      <c r="M191" s="8"/>
      <c r="N191" s="270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20346528.98</v>
      </c>
      <c r="G192" s="47">
        <f>G111+G139+G168+G191</f>
        <v>546291.70000000007</v>
      </c>
      <c r="H192" s="47">
        <f>H111+H139+H168+H191</f>
        <v>1166720.5699999998</v>
      </c>
      <c r="I192" s="47">
        <f>I111+I139+I168+I191</f>
        <v>0</v>
      </c>
      <c r="J192" s="47">
        <f>J111+J139+J191</f>
        <v>200307.09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0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0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0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1580090.5+20407.92+55785.08+1240+32260.4</f>
        <v>1689783.9</v>
      </c>
      <c r="G196" s="18">
        <f>475404.16+27924.44+1667.21+122814.39+16.49+177939.75+82322.95</f>
        <v>888089.3899999999</v>
      </c>
      <c r="H196" s="18">
        <f>5000+15076.72</f>
        <v>20076.72</v>
      </c>
      <c r="I196" s="18">
        <f>60953.18+4787.08</f>
        <v>65740.259999999995</v>
      </c>
      <c r="J196" s="18">
        <f>195.56+1050.31+2807.62</f>
        <v>4053.49</v>
      </c>
      <c r="K196" s="18">
        <f>124</f>
        <v>124</v>
      </c>
      <c r="L196" s="19">
        <f>SUM(F196:K196)</f>
        <v>2667867.7600000002</v>
      </c>
      <c r="M196" s="8"/>
      <c r="N196" s="270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362711+265977.61+62354.3</f>
        <v>691042.91</v>
      </c>
      <c r="G197" s="18">
        <f>276703.55+7127.71+744.81+135.2+44111.93+40986.46+14902.76</f>
        <v>384712.42000000004</v>
      </c>
      <c r="H197" s="18">
        <f>316691.87+113066.2</f>
        <v>429758.07</v>
      </c>
      <c r="I197" s="18">
        <f>3586.78+177.05+2124.78</f>
        <v>5888.6100000000006</v>
      </c>
      <c r="J197" s="18">
        <f>2342.1+659.25</f>
        <v>3001.35</v>
      </c>
      <c r="K197" s="18">
        <f>8265.15</f>
        <v>8265.15</v>
      </c>
      <c r="L197" s="19">
        <f>SUM(F197:K197)</f>
        <v>1522668.5100000002</v>
      </c>
      <c r="M197" s="8"/>
      <c r="N197" s="270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0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f>8972</f>
        <v>8972</v>
      </c>
      <c r="G199" s="18">
        <f>686.37+875.07</f>
        <v>1561.44</v>
      </c>
      <c r="H199" s="18"/>
      <c r="I199" s="18"/>
      <c r="J199" s="18"/>
      <c r="K199" s="18"/>
      <c r="L199" s="19">
        <f>SUM(F199:K199)</f>
        <v>10533.44</v>
      </c>
      <c r="M199" s="8"/>
      <c r="N199" s="270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0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130991.55+34611+30786.07+53994.73</f>
        <v>250383.35</v>
      </c>
      <c r="G201" s="18">
        <f>81540.47+3551.6+282.28+14166.76+18712.96+19901.06</f>
        <v>138155.13</v>
      </c>
      <c r="H201" s="18">
        <f>201.28+2500+325.99</f>
        <v>3027.2700000000004</v>
      </c>
      <c r="I201" s="18">
        <f>2198.64+1935.62</f>
        <v>4134.26</v>
      </c>
      <c r="J201" s="18"/>
      <c r="K201" s="18"/>
      <c r="L201" s="19">
        <f t="shared" ref="L201:L207" si="0">SUM(F201:K201)</f>
        <v>395700.01</v>
      </c>
      <c r="M201" s="8"/>
      <c r="N201" s="270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41766.5+14573.91+58623.35</f>
        <v>114963.76000000001</v>
      </c>
      <c r="G202" s="18">
        <f>15891.92+541.2+67.1+4194.68+4719.65+23325.93</f>
        <v>48740.479999999996</v>
      </c>
      <c r="H202" s="18">
        <f>12674.03+11303.87</f>
        <v>23977.9</v>
      </c>
      <c r="I202" s="18">
        <f>5315.53+3997.64+1000+18206.08+5283.12</f>
        <v>33802.370000000003</v>
      </c>
      <c r="J202" s="18">
        <f>11498.32+5003.06+5320.29</f>
        <v>21821.670000000002</v>
      </c>
      <c r="K202" s="18"/>
      <c r="L202" s="19">
        <f t="shared" si="0"/>
        <v>243306.18</v>
      </c>
      <c r="M202" s="8"/>
      <c r="N202" s="270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197387.75</f>
        <v>197387.75</v>
      </c>
      <c r="G203" s="18">
        <f>89997.92</f>
        <v>89997.92</v>
      </c>
      <c r="H203" s="18">
        <f>49651.77</f>
        <v>49651.77</v>
      </c>
      <c r="I203" s="18">
        <f>7258.56</f>
        <v>7258.56</v>
      </c>
      <c r="J203" s="18"/>
      <c r="K203" s="18">
        <f>8320.19</f>
        <v>8320.19</v>
      </c>
      <c r="L203" s="19">
        <f t="shared" si="0"/>
        <v>352616.19</v>
      </c>
      <c r="M203" s="8"/>
      <c r="N203" s="270"/>
    </row>
    <row r="204" spans="1:14" s="3" customFormat="1" ht="12" customHeight="1" x14ac:dyDescent="0.2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f>68642.32+146010.81</f>
        <v>214653.13</v>
      </c>
      <c r="G204" s="18">
        <f>77065.39+4749.47+394.51+417.17+15236.63+6063.42+16555.35</f>
        <v>120481.94</v>
      </c>
      <c r="H204" s="18">
        <f>875.54+414.6+15676.64+9024.55+1500+642.34+48</f>
        <v>28181.67</v>
      </c>
      <c r="I204" s="18">
        <f>1499.97</f>
        <v>1499.97</v>
      </c>
      <c r="J204"/>
      <c r="K204" s="18">
        <v>1440</v>
      </c>
      <c r="L204" s="19">
        <f t="shared" si="0"/>
        <v>366256.70999999996</v>
      </c>
      <c r="M204" s="8"/>
      <c r="N204" s="270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f>53106.72</f>
        <v>53106.720000000001</v>
      </c>
      <c r="G205" s="18">
        <f>26558.5</f>
        <v>26558.5</v>
      </c>
      <c r="H205" s="18">
        <f>1825.61</f>
        <v>1825.61</v>
      </c>
      <c r="I205" s="18"/>
      <c r="J205" s="18"/>
      <c r="K205" s="18">
        <f>704.5</f>
        <v>704.5</v>
      </c>
      <c r="L205" s="19">
        <f t="shared" si="0"/>
        <v>82195.33</v>
      </c>
      <c r="M205" s="8"/>
      <c r="N205" s="270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114998.19+78711.92</f>
        <v>193710.11</v>
      </c>
      <c r="G206" s="18">
        <f>42408.1+1901.48+57.82+8061.55+9397.75+26286.77</f>
        <v>88113.47</v>
      </c>
      <c r="H206" s="18">
        <f>28000+6790+3335.5+20610.13+2536.82+17659.11+36000+26395.29</f>
        <v>141326.85</v>
      </c>
      <c r="I206" s="18">
        <f>21429.59+17945.86+57223.53+31094.51+2115.73</f>
        <v>129809.21999999999</v>
      </c>
      <c r="J206" s="18">
        <f>2264.74</f>
        <v>2264.7399999999998</v>
      </c>
      <c r="K206" s="18"/>
      <c r="L206" s="19">
        <f t="shared" si="0"/>
        <v>555224.3899999999</v>
      </c>
      <c r="M206" s="8"/>
      <c r="N206" s="270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2254+141740.29+119071.95+63351.22</f>
        <v>326417.45999999996</v>
      </c>
      <c r="I207" s="18"/>
      <c r="J207" s="18"/>
      <c r="K207" s="18"/>
      <c r="L207" s="19">
        <f t="shared" si="0"/>
        <v>326417.45999999996</v>
      </c>
      <c r="M207" s="8"/>
      <c r="N207" s="270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>
        <f>828.72</f>
        <v>828.72</v>
      </c>
      <c r="I208" s="18"/>
      <c r="J208" s="18"/>
      <c r="K208" s="18"/>
      <c r="L208" s="19">
        <f>SUM(F208:K208)</f>
        <v>828.72</v>
      </c>
      <c r="M208" s="8"/>
      <c r="N208" s="270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0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3414003.63</v>
      </c>
      <c r="G210" s="41">
        <f t="shared" si="1"/>
        <v>1786410.6899999997</v>
      </c>
      <c r="H210" s="41">
        <f t="shared" si="1"/>
        <v>1025072.04</v>
      </c>
      <c r="I210" s="41">
        <f t="shared" si="1"/>
        <v>248133.25</v>
      </c>
      <c r="J210" s="41">
        <f t="shared" si="1"/>
        <v>31141.25</v>
      </c>
      <c r="K210" s="41">
        <f t="shared" si="1"/>
        <v>18853.84</v>
      </c>
      <c r="L210" s="41">
        <f t="shared" si="1"/>
        <v>6523614.7000000002</v>
      </c>
      <c r="M210" s="8"/>
      <c r="N210" s="270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0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0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0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f>1554059.65+14802.83+15211.68+28464.3+74717.88+4800+27634</f>
        <v>1719690.3399999999</v>
      </c>
      <c r="G214" s="18">
        <f>505697.29+28114.12+1685.71+125633.64+179724.22+70517.18</f>
        <v>911372.15999999992</v>
      </c>
      <c r="H214" s="18">
        <f>2745+1228.25+12914.59</f>
        <v>16887.84</v>
      </c>
      <c r="I214" s="18">
        <f>42326.93+10180.93</f>
        <v>52507.86</v>
      </c>
      <c r="J214" s="18">
        <f>1694+5954.45+425.6+1117.88</f>
        <v>9191.93</v>
      </c>
      <c r="K214" s="18"/>
      <c r="L214" s="19">
        <f>SUM(F214:K214)</f>
        <v>2709650.13</v>
      </c>
      <c r="M214" s="8"/>
      <c r="N214" s="270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f>297823.26+229930.57+53412.18</f>
        <v>581166.01000000013</v>
      </c>
      <c r="G215" s="18">
        <f>277135.11+7693.92+690.49+173.44+36095.72+33653.75+12765.59</f>
        <v>368208.01999999996</v>
      </c>
      <c r="H215" s="18">
        <f>106961.18+96851.59</f>
        <v>203812.77</v>
      </c>
      <c r="I215" s="18">
        <f>2514.81+186.79+1820.07</f>
        <v>4521.67</v>
      </c>
      <c r="J215" s="18">
        <f>4562.46+564.7</f>
        <v>5127.16</v>
      </c>
      <c r="K215" s="18">
        <f>7079.86</f>
        <v>7079.86</v>
      </c>
      <c r="L215" s="19">
        <f>SUM(F215:K215)</f>
        <v>1169915.49</v>
      </c>
      <c r="M215" s="8"/>
      <c r="N215" s="270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0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f>32088.88</f>
        <v>32088.880000000001</v>
      </c>
      <c r="G217" s="18">
        <f>2454.81+2356.09</f>
        <v>4810.8999999999996</v>
      </c>
      <c r="H217" s="18">
        <f>4390</f>
        <v>4390</v>
      </c>
      <c r="I217" s="18">
        <f>921.33</f>
        <v>921.33</v>
      </c>
      <c r="J217" s="18"/>
      <c r="K217" s="18"/>
      <c r="L217" s="19">
        <f>SUM(F217:K217)</f>
        <v>42211.11</v>
      </c>
      <c r="M217" s="8"/>
      <c r="N217" s="270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0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f>199053.91+37803+19150.56+46251.45</f>
        <v>302258.92</v>
      </c>
      <c r="G219" s="18">
        <f>63591.05+3849.26+309.65+102.18+19118.34+26764.98+17047.09</f>
        <v>130782.54999999997</v>
      </c>
      <c r="H219" s="18">
        <f>190.5+279.24</f>
        <v>469.74</v>
      </c>
      <c r="I219" s="18">
        <f>1423.66+35+2372+1658.03</f>
        <v>5488.69</v>
      </c>
      <c r="J219" s="18"/>
      <c r="K219" s="18"/>
      <c r="L219" s="19">
        <f t="shared" ref="L219:L225" si="2">SUM(F219:K219)</f>
        <v>438999.89999999997</v>
      </c>
      <c r="M219" s="8"/>
      <c r="N219" s="270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f>55456+24098.15+50216.28</f>
        <v>129770.43</v>
      </c>
      <c r="G220" s="18">
        <f>36016.58+771.16+70.44+5684.21+6266.53+19980.81</f>
        <v>68789.73000000001</v>
      </c>
      <c r="H220" s="18">
        <f>12375.89+9682.8</f>
        <v>22058.69</v>
      </c>
      <c r="I220" s="18">
        <f>5253.01+8224.61+594.09+6952.5+4525.47</f>
        <v>25549.68</v>
      </c>
      <c r="J220" s="18">
        <f>4989.79+10245+4557.32</f>
        <v>19792.11</v>
      </c>
      <c r="K220" s="18"/>
      <c r="L220" s="19">
        <f t="shared" si="2"/>
        <v>265960.64</v>
      </c>
      <c r="M220" s="8"/>
      <c r="N220" s="270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f>169080.75</f>
        <v>169080.75</v>
      </c>
      <c r="G221" s="18">
        <f>77091.49</f>
        <v>77091.490000000005</v>
      </c>
      <c r="H221" s="18">
        <f>42531.3</f>
        <v>42531.3</v>
      </c>
      <c r="I221" s="18">
        <f>6217.63</f>
        <v>6217.63</v>
      </c>
      <c r="J221" s="18"/>
      <c r="K221" s="18">
        <f>7127.01</f>
        <v>7127.01</v>
      </c>
      <c r="L221" s="19">
        <f t="shared" si="2"/>
        <v>302048.18</v>
      </c>
      <c r="M221" s="8"/>
      <c r="N221" s="270"/>
    </row>
    <row r="222" spans="1:14" s="3" customFormat="1" ht="12" customHeight="1" x14ac:dyDescent="0.2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f>82358.24+129774.26</f>
        <v>212132.5</v>
      </c>
      <c r="G222" s="18">
        <f>75227.27+2402.87+316.27+301.93+15094.72+7323.64+14664.52</f>
        <v>115331.22</v>
      </c>
      <c r="H222" s="18">
        <f>2152.13+2000+718+12827.61+4483.58+2699.18+1362.4</f>
        <v>26242.9</v>
      </c>
      <c r="I222" s="18">
        <f>2963.23</f>
        <v>2963.23</v>
      </c>
      <c r="J222"/>
      <c r="K222" s="18">
        <f>875</f>
        <v>875</v>
      </c>
      <c r="L222" s="19">
        <f t="shared" si="2"/>
        <v>357544.85</v>
      </c>
      <c r="M222" s="8"/>
      <c r="N222" s="270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f>45490.78</f>
        <v>45490.78</v>
      </c>
      <c r="G223" s="18">
        <f>22749.8</f>
        <v>22749.8</v>
      </c>
      <c r="H223" s="18">
        <f>1563.8</f>
        <v>1563.8</v>
      </c>
      <c r="I223" s="18"/>
      <c r="J223" s="18"/>
      <c r="K223" s="18">
        <f>603.47</f>
        <v>603.47</v>
      </c>
      <c r="L223" s="19">
        <f t="shared" si="2"/>
        <v>70407.850000000006</v>
      </c>
      <c r="M223" s="8"/>
      <c r="N223" s="270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f>137515.63+67423.99</f>
        <v>204939.62</v>
      </c>
      <c r="G224" s="18">
        <f>50204.84+3574.45+96.46+9654.58+12217.4+22517.04</f>
        <v>98264.76999999999</v>
      </c>
      <c r="H224" s="18">
        <f>4510+2216.1+31802.77+1775.8+16540.96+22609.99</f>
        <v>79455.62000000001</v>
      </c>
      <c r="I224" s="18">
        <f>21474.65+89429.95+69522.75+2814.48+1812.32</f>
        <v>185054.15000000002</v>
      </c>
      <c r="J224" s="18">
        <f>1939.96</f>
        <v>1939.96</v>
      </c>
      <c r="K224" s="18"/>
      <c r="L224" s="19">
        <f t="shared" si="2"/>
        <v>569654.12</v>
      </c>
      <c r="M224" s="8"/>
      <c r="N224" s="270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f>4535.95+1050.65+124022.75+47628.78+24365.85</f>
        <v>201603.98</v>
      </c>
      <c r="I225" s="18"/>
      <c r="J225" s="18"/>
      <c r="K225" s="18"/>
      <c r="L225" s="19">
        <f t="shared" si="2"/>
        <v>201603.98</v>
      </c>
      <c r="M225" s="8"/>
      <c r="N225" s="270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>
        <f>709.87</f>
        <v>709.87</v>
      </c>
      <c r="I226" s="18"/>
      <c r="J226" s="18"/>
      <c r="K226" s="18"/>
      <c r="L226" s="19">
        <f>SUM(F226:K226)</f>
        <v>709.87</v>
      </c>
      <c r="M226" s="8"/>
      <c r="N226" s="270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0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3396618.23</v>
      </c>
      <c r="G228" s="41">
        <f>SUM(G214:G227)</f>
        <v>1797400.64</v>
      </c>
      <c r="H228" s="41">
        <f>SUM(H214:H227)</f>
        <v>599726.51</v>
      </c>
      <c r="I228" s="41">
        <f>SUM(I214:I227)</f>
        <v>283224.24000000005</v>
      </c>
      <c r="J228" s="41">
        <f>SUM(J214:J227)</f>
        <v>36051.159999999996</v>
      </c>
      <c r="K228" s="41">
        <f t="shared" si="3"/>
        <v>15685.339999999998</v>
      </c>
      <c r="L228" s="41">
        <f t="shared" si="3"/>
        <v>6128706.1199999992</v>
      </c>
      <c r="M228" s="8"/>
      <c r="N228" s="270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0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0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0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f>1430560.49+18759+36761.29+72232.14+2720+27587.03</f>
        <v>1588619.95</v>
      </c>
      <c r="G232" s="18">
        <f>485169.38+24999.11+1551.14+115851.02+161151.26+70397.3</f>
        <v>859119.21000000008</v>
      </c>
      <c r="H232" s="18">
        <f>31399.84+1559.91+12310.76+12892.63</f>
        <v>58163.14</v>
      </c>
      <c r="I232" s="18">
        <f>49244.11+27104.03+719.49</f>
        <v>77067.63</v>
      </c>
      <c r="J232" s="18">
        <f>8479.58+4699.96+1023.28</f>
        <v>14202.820000000002</v>
      </c>
      <c r="K232" s="18">
        <f>517</f>
        <v>517</v>
      </c>
      <c r="L232" s="19">
        <f>SUM(F232:K232)</f>
        <v>2597689.75</v>
      </c>
      <c r="M232" s="8"/>
      <c r="N232" s="270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f>265659.94+176670.65+53321.39</f>
        <v>495651.98</v>
      </c>
      <c r="G233" s="18">
        <f>240164.11+7830.36+598.06+30713.44+30019.59+12743.89</f>
        <v>322069.45</v>
      </c>
      <c r="H233" s="18">
        <f>332240.21+96686.95</f>
        <v>428927.16000000003</v>
      </c>
      <c r="I233" s="18">
        <f>2733.34+233.58+1816.97</f>
        <v>4783.8900000000003</v>
      </c>
      <c r="J233" s="18">
        <f>2518.98+563.75</f>
        <v>3082.73</v>
      </c>
      <c r="K233" s="18">
        <f>7067.82</f>
        <v>7067.82</v>
      </c>
      <c r="L233" s="19">
        <f>SUM(F233:K233)</f>
        <v>1261583.0299999998</v>
      </c>
      <c r="M233" s="8"/>
      <c r="N233" s="270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v>155257.5</v>
      </c>
      <c r="I234" s="18"/>
      <c r="J234" s="18"/>
      <c r="K234" s="18"/>
      <c r="L234" s="19">
        <f>SUM(F234:K234)</f>
        <v>155257.5</v>
      </c>
      <c r="M234" s="8"/>
      <c r="N234" s="270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f>100317.62</f>
        <v>100317.62</v>
      </c>
      <c r="G235" s="18">
        <f>7674.18+5286.4</f>
        <v>12960.58</v>
      </c>
      <c r="H235" s="18">
        <f>20757+6762.04+2450.1</f>
        <v>29969.14</v>
      </c>
      <c r="I235" s="18">
        <f>9246.35</f>
        <v>9246.35</v>
      </c>
      <c r="J235" s="18">
        <f>5960.36</f>
        <v>5960.36</v>
      </c>
      <c r="K235" s="18">
        <f>5964.5</f>
        <v>5964.5</v>
      </c>
      <c r="L235" s="19">
        <f>SUM(F235:K235)</f>
        <v>164418.54999999999</v>
      </c>
      <c r="M235" s="8"/>
      <c r="N235" s="270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0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f>205616.13+35372+14437.08+23362.08+46172.82</f>
        <v>324960.11</v>
      </c>
      <c r="G237" s="18">
        <f>97289.03+4275.98+343.29+95.68+20133.57+2067.13+27231.61+229+17018.11</f>
        <v>168683.39999999997</v>
      </c>
      <c r="H237" s="18">
        <f>42250+200+1815+278.77</f>
        <v>44543.77</v>
      </c>
      <c r="I237" s="18">
        <f>3396.47+700+2394.93+1655.22</f>
        <v>8146.62</v>
      </c>
      <c r="J237" s="18"/>
      <c r="K237" s="18"/>
      <c r="L237" s="19">
        <f t="shared" ref="L237:L243" si="4">SUM(F237:K237)</f>
        <v>546333.89999999991</v>
      </c>
      <c r="M237" s="8"/>
      <c r="N237" s="270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f>37843+12714.13+50130.92</f>
        <v>100688.04999999999</v>
      </c>
      <c r="G238" s="18">
        <f>9168.55+579.5+67.24+3749.15+4276.22+19946.84</f>
        <v>37787.5</v>
      </c>
      <c r="H238" s="18">
        <f>4291.27+9666.34</f>
        <v>13957.61</v>
      </c>
      <c r="I238" s="18">
        <f>6180.72+5707.47+1234.81+8027.89+4517.78</f>
        <v>25668.67</v>
      </c>
      <c r="J238" s="18">
        <f>8773.34+4800+4549.58</f>
        <v>18122.919999999998</v>
      </c>
      <c r="K238" s="18"/>
      <c r="L238" s="19">
        <f t="shared" si="4"/>
        <v>196224.74999999994</v>
      </c>
      <c r="M238" s="8"/>
      <c r="N238" s="270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f>168793.32</f>
        <v>168793.32</v>
      </c>
      <c r="G239" s="18">
        <f>76960.44</f>
        <v>76960.44</v>
      </c>
      <c r="H239" s="18">
        <f>42459.01</f>
        <v>42459.01</v>
      </c>
      <c r="I239" s="18">
        <f>6207.06</f>
        <v>6207.06</v>
      </c>
      <c r="J239" s="18"/>
      <c r="K239" s="18">
        <f>7114.89</f>
        <v>7114.89</v>
      </c>
      <c r="L239" s="19">
        <f t="shared" si="4"/>
        <v>301534.72000000003</v>
      </c>
      <c r="M239" s="8"/>
      <c r="N239" s="270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f>17500+70078.3+155655.24</f>
        <v>243233.53999999998</v>
      </c>
      <c r="G240" s="18">
        <f>77998.44+4348.8+298.95+268.58+17682.35+6167.1+19676.8+3300</f>
        <v>129741.02</v>
      </c>
      <c r="H240" s="18">
        <f>2478+2700+13702.29+7684.7+4445.1+6433.37+920.17</f>
        <v>38363.630000000005</v>
      </c>
      <c r="I240" s="18">
        <f>3382.56</f>
        <v>3382.56</v>
      </c>
      <c r="J240" s="18">
        <f>715</f>
        <v>715</v>
      </c>
      <c r="K240" s="18">
        <f>5040</f>
        <v>5040</v>
      </c>
      <c r="L240" s="19">
        <f t="shared" si="4"/>
        <v>420475.75</v>
      </c>
      <c r="M240" s="8"/>
      <c r="N240" s="270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f>45413.43</f>
        <v>45413.43</v>
      </c>
      <c r="G241" s="18">
        <f>22711.13</f>
        <v>22711.13</v>
      </c>
      <c r="H241" s="18">
        <f>1561.15</f>
        <v>1561.15</v>
      </c>
      <c r="I241" s="18"/>
      <c r="J241" s="18"/>
      <c r="K241" s="18">
        <f>602.45</f>
        <v>602.45000000000005</v>
      </c>
      <c r="L241" s="19">
        <f t="shared" si="4"/>
        <v>70288.159999999989</v>
      </c>
      <c r="M241" s="8"/>
      <c r="N241" s="270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f>119292.71+67309.38</f>
        <v>186602.09000000003</v>
      </c>
      <c r="G242" s="18">
        <f>56198.09+3555.47+73.69+8125.1+9568.86+22478.76</f>
        <v>99999.97</v>
      </c>
      <c r="H242" s="18">
        <f>7585+1756.99+34941.47+772+53195.85+22571.56</f>
        <v>120822.87</v>
      </c>
      <c r="I242" s="18">
        <f>15774.32+74414.6+32781.71+1809.24</f>
        <v>124779.87000000001</v>
      </c>
      <c r="J242" s="18">
        <f>1936.65</f>
        <v>1936.65</v>
      </c>
      <c r="K242" s="18"/>
      <c r="L242" s="19">
        <f t="shared" si="4"/>
        <v>534141.45000000007</v>
      </c>
      <c r="M242" s="8"/>
      <c r="N242" s="270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f>25884.45+5994.78+150000.21+119071.94+12182.93</f>
        <v>313134.31</v>
      </c>
      <c r="I243" s="18"/>
      <c r="J243" s="18"/>
      <c r="K243" s="18"/>
      <c r="L243" s="19">
        <f t="shared" si="4"/>
        <v>313134.31</v>
      </c>
      <c r="M243" s="8"/>
      <c r="N243" s="270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>
        <f>708.66</f>
        <v>708.66</v>
      </c>
      <c r="I244" s="18"/>
      <c r="J244" s="18"/>
      <c r="K244" s="18"/>
      <c r="L244" s="19">
        <f>SUM(F244:K244)</f>
        <v>708.66</v>
      </c>
      <c r="M244" s="8"/>
      <c r="N244" s="270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0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3254280.0899999994</v>
      </c>
      <c r="G246" s="41">
        <f t="shared" si="5"/>
        <v>1730032.7</v>
      </c>
      <c r="H246" s="41">
        <f t="shared" si="5"/>
        <v>1247867.95</v>
      </c>
      <c r="I246" s="41">
        <f t="shared" si="5"/>
        <v>259282.65000000002</v>
      </c>
      <c r="J246" s="41">
        <f t="shared" si="5"/>
        <v>44020.480000000003</v>
      </c>
      <c r="K246" s="41">
        <f t="shared" si="5"/>
        <v>26306.66</v>
      </c>
      <c r="L246" s="41">
        <f t="shared" si="5"/>
        <v>6561790.5299999993</v>
      </c>
      <c r="M246" s="8"/>
      <c r="N246" s="270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0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0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0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0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>
        <v>19491.86</v>
      </c>
      <c r="I252" s="18"/>
      <c r="J252" s="18"/>
      <c r="K252" s="18"/>
      <c r="L252" s="19">
        <f t="shared" si="6"/>
        <v>19491.86</v>
      </c>
      <c r="M252" s="8"/>
      <c r="N252" s="270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19491.86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19491.86</v>
      </c>
      <c r="M255" s="8"/>
      <c r="N255" s="270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10064901.949999999</v>
      </c>
      <c r="G256" s="41">
        <f t="shared" si="8"/>
        <v>5313844.0299999993</v>
      </c>
      <c r="H256" s="41">
        <f t="shared" si="8"/>
        <v>2892158.36</v>
      </c>
      <c r="I256" s="41">
        <f t="shared" si="8"/>
        <v>790640.14</v>
      </c>
      <c r="J256" s="41">
        <f t="shared" si="8"/>
        <v>111212.89000000001</v>
      </c>
      <c r="K256" s="41">
        <f t="shared" si="8"/>
        <v>60845.84</v>
      </c>
      <c r="L256" s="41">
        <f t="shared" si="8"/>
        <v>19233603.210000001</v>
      </c>
      <c r="M256" s="8"/>
      <c r="N256" s="270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0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0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764623.95</v>
      </c>
      <c r="L259" s="19">
        <f>SUM(F259:K259)</f>
        <v>764623.95</v>
      </c>
      <c r="M259" s="8"/>
      <c r="N259" s="270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273753.14</v>
      </c>
      <c r="L260" s="19">
        <f>SUM(F260:K260)</f>
        <v>273753.14</v>
      </c>
      <c r="N260" s="181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181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28761.23</v>
      </c>
      <c r="L262" s="19">
        <f>SUM(F262:K262)</f>
        <v>28761.23</v>
      </c>
      <c r="N262" s="181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181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181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195000</v>
      </c>
      <c r="L265" s="19">
        <f t="shared" si="9"/>
        <v>195000</v>
      </c>
      <c r="N265" s="181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181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181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1262138.32</v>
      </c>
      <c r="L269" s="41">
        <f t="shared" si="9"/>
        <v>1262138.32</v>
      </c>
      <c r="N269" s="181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10064901.949999999</v>
      </c>
      <c r="G270" s="42">
        <f t="shared" si="11"/>
        <v>5313844.0299999993</v>
      </c>
      <c r="H270" s="42">
        <f t="shared" si="11"/>
        <v>2892158.36</v>
      </c>
      <c r="I270" s="42">
        <f t="shared" si="11"/>
        <v>790640.14</v>
      </c>
      <c r="J270" s="42">
        <f t="shared" si="11"/>
        <v>111212.89000000001</v>
      </c>
      <c r="K270" s="42">
        <f t="shared" si="11"/>
        <v>1322984.1600000001</v>
      </c>
      <c r="L270" s="42">
        <f t="shared" si="11"/>
        <v>20495741.530000001</v>
      </c>
      <c r="M270" s="8"/>
      <c r="N270" s="270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0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0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0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0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116828.26+7092</f>
        <v>123920.26</v>
      </c>
      <c r="G275" s="18">
        <f>24604.67+657.45</f>
        <v>25262.12</v>
      </c>
      <c r="H275" s="18">
        <f>26921.59</f>
        <v>26921.59</v>
      </c>
      <c r="I275" s="18">
        <f>8079.32</f>
        <v>8079.32</v>
      </c>
      <c r="J275" s="18">
        <f>19790.83</f>
        <v>19790.830000000002</v>
      </c>
      <c r="K275" s="18"/>
      <c r="L275" s="19">
        <f>SUM(F275:K275)</f>
        <v>203974.12</v>
      </c>
      <c r="M275" s="8"/>
      <c r="N275" s="270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101435+13491.25</f>
        <v>114926.25</v>
      </c>
      <c r="G276" s="18">
        <f>61519.56+2816.18</f>
        <v>64335.74</v>
      </c>
      <c r="H276" s="18"/>
      <c r="I276" s="18"/>
      <c r="J276" s="18">
        <f>2656.57</f>
        <v>2656.57</v>
      </c>
      <c r="K276" s="18"/>
      <c r="L276" s="19">
        <f>SUM(F276:K276)</f>
        <v>181918.56</v>
      </c>
      <c r="M276" s="8"/>
      <c r="N276" s="270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0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0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 t="s">
        <v>287</v>
      </c>
      <c r="G280" s="18" t="s">
        <v>287</v>
      </c>
      <c r="H280" s="18" t="s">
        <v>287</v>
      </c>
      <c r="I280" s="18" t="s">
        <v>287</v>
      </c>
      <c r="J280" s="18" t="s">
        <v>287</v>
      </c>
      <c r="K280" s="18"/>
      <c r="L280" s="19">
        <f t="shared" ref="L280:L286" si="12">SUM(F280:K280)</f>
        <v>0</v>
      </c>
      <c r="M280" s="8"/>
      <c r="N280" s="270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f>61809.22+15748.33</f>
        <v>77557.55</v>
      </c>
      <c r="G281" s="18">
        <f>5660.02+6157.96</f>
        <v>11817.98</v>
      </c>
      <c r="H281" s="18">
        <f>7700+35527.79</f>
        <v>43227.79</v>
      </c>
      <c r="I281" s="18">
        <f>13506.47</f>
        <v>13506.47</v>
      </c>
      <c r="J281" s="18">
        <f>761.71</f>
        <v>761.71</v>
      </c>
      <c r="K281" s="18"/>
      <c r="L281" s="19">
        <f t="shared" si="12"/>
        <v>146871.5</v>
      </c>
      <c r="M281" s="8"/>
      <c r="N281" s="270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0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0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>
        <v>6320.27</v>
      </c>
      <c r="I286" s="18"/>
      <c r="J286" s="18"/>
      <c r="K286" s="18"/>
      <c r="L286" s="19">
        <f t="shared" si="12"/>
        <v>6320.27</v>
      </c>
      <c r="M286" s="8"/>
      <c r="N286" s="270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0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0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316404.06</v>
      </c>
      <c r="G289" s="42">
        <f t="shared" si="13"/>
        <v>101415.84</v>
      </c>
      <c r="H289" s="42">
        <f t="shared" si="13"/>
        <v>76469.650000000009</v>
      </c>
      <c r="I289" s="42">
        <f t="shared" si="13"/>
        <v>21585.79</v>
      </c>
      <c r="J289" s="42">
        <f t="shared" si="13"/>
        <v>23209.11</v>
      </c>
      <c r="K289" s="42">
        <f t="shared" si="13"/>
        <v>0</v>
      </c>
      <c r="L289" s="41">
        <f t="shared" si="13"/>
        <v>539084.44999999995</v>
      </c>
      <c r="M289" s="8"/>
      <c r="N289" s="270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0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0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0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0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f>33960</f>
        <v>33960</v>
      </c>
      <c r="G294" s="18">
        <f>6435.42</f>
        <v>6435.42</v>
      </c>
      <c r="H294" s="18">
        <f>1000</f>
        <v>1000</v>
      </c>
      <c r="I294" s="18">
        <f>6920.68</f>
        <v>6920.68</v>
      </c>
      <c r="J294" s="18">
        <f>19790.83</f>
        <v>19790.830000000002</v>
      </c>
      <c r="K294" s="18"/>
      <c r="L294" s="19">
        <f>SUM(F294:K294)</f>
        <v>68106.929999999993</v>
      </c>
      <c r="M294" s="8"/>
      <c r="N294" s="270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f>5696.5</f>
        <v>5696.5</v>
      </c>
      <c r="G295" s="18">
        <f>1179.57</f>
        <v>1179.57</v>
      </c>
      <c r="H295" s="18"/>
      <c r="I295" s="18"/>
      <c r="J295" s="18">
        <f>2656.57</f>
        <v>2656.57</v>
      </c>
      <c r="K295" s="18"/>
      <c r="L295" s="19">
        <f>SUM(F295:K295)</f>
        <v>9532.64</v>
      </c>
      <c r="M295" s="8"/>
      <c r="N295" s="270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0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0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f>1484.54</f>
        <v>1484.54</v>
      </c>
      <c r="G299" s="18">
        <f>120.59</f>
        <v>120.59</v>
      </c>
      <c r="H299" s="18" t="s">
        <v>287</v>
      </c>
      <c r="I299" s="18">
        <f>15689.27</f>
        <v>15689.27</v>
      </c>
      <c r="J299" s="18" t="s">
        <v>287</v>
      </c>
      <c r="K299" s="18"/>
      <c r="L299" s="19">
        <f t="shared" ref="L299:L305" si="14">SUM(F299:K299)</f>
        <v>17294.400000000001</v>
      </c>
      <c r="M299" s="8"/>
      <c r="N299" s="270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f>59320.47+14348.33</f>
        <v>73668.800000000003</v>
      </c>
      <c r="G300" s="18">
        <f>6175.11+5900.98</f>
        <v>12076.09</v>
      </c>
      <c r="H300" s="18">
        <f>2937+34970.4</f>
        <v>37907.4</v>
      </c>
      <c r="I300" s="18">
        <f>12347.83</f>
        <v>12347.83</v>
      </c>
      <c r="J300" s="18">
        <f>761.71</f>
        <v>761.71</v>
      </c>
      <c r="K300" s="18"/>
      <c r="L300" s="19">
        <f t="shared" si="14"/>
        <v>136761.82999999999</v>
      </c>
      <c r="M300" s="8"/>
      <c r="N300" s="270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 t="s">
        <v>287</v>
      </c>
      <c r="G301" s="18" t="s">
        <v>287</v>
      </c>
      <c r="H301" s="18"/>
      <c r="I301" s="18" t="s">
        <v>287</v>
      </c>
      <c r="J301" s="18"/>
      <c r="K301" s="18"/>
      <c r="L301" s="19">
        <f t="shared" si="14"/>
        <v>0</v>
      </c>
      <c r="M301" s="8"/>
      <c r="N301" s="270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>
        <v>6320.27</v>
      </c>
      <c r="I305" s="18"/>
      <c r="J305" s="18"/>
      <c r="K305" s="18"/>
      <c r="L305" s="19">
        <f t="shared" si="14"/>
        <v>6320.27</v>
      </c>
      <c r="M305" s="8"/>
      <c r="N305" s="270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0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0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114809.84</v>
      </c>
      <c r="G308" s="42">
        <f t="shared" si="15"/>
        <v>19811.669999999998</v>
      </c>
      <c r="H308" s="42">
        <f t="shared" si="15"/>
        <v>45227.67</v>
      </c>
      <c r="I308" s="42">
        <f t="shared" si="15"/>
        <v>34957.78</v>
      </c>
      <c r="J308" s="42">
        <f t="shared" si="15"/>
        <v>23209.11</v>
      </c>
      <c r="K308" s="42">
        <f t="shared" si="15"/>
        <v>0</v>
      </c>
      <c r="L308" s="41">
        <f t="shared" si="15"/>
        <v>238016.06999999998</v>
      </c>
      <c r="N308" s="181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0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0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0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0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f>16057</f>
        <v>16057</v>
      </c>
      <c r="G313" s="18">
        <f>1479.54</f>
        <v>1479.54</v>
      </c>
      <c r="H313" s="18"/>
      <c r="I313" s="18">
        <f>1276.67</f>
        <v>1276.67</v>
      </c>
      <c r="J313" s="18">
        <f>19790.83</f>
        <v>19790.830000000002</v>
      </c>
      <c r="K313" s="18"/>
      <c r="L313" s="19">
        <f>SUM(F313:K313)</f>
        <v>38604.04</v>
      </c>
      <c r="M313" s="8"/>
      <c r="N313" s="270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f>95365.5+13491.25</f>
        <v>108856.75</v>
      </c>
      <c r="G314" s="18">
        <f>51499.54+2816.18</f>
        <v>54315.72</v>
      </c>
      <c r="H314" s="18"/>
      <c r="I314" s="18">
        <f>1453.49-0.03</f>
        <v>1453.46</v>
      </c>
      <c r="J314" s="18">
        <f>4574.68</f>
        <v>4574.68</v>
      </c>
      <c r="K314" s="18"/>
      <c r="L314" s="19">
        <f>SUM(F314:K314)</f>
        <v>169200.61</v>
      </c>
      <c r="M314" s="8"/>
      <c r="N314" s="270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0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0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 t="s">
        <v>287</v>
      </c>
      <c r="G318" s="18" t="s">
        <v>287</v>
      </c>
      <c r="H318" s="18">
        <f>325.85</f>
        <v>325.85000000000002</v>
      </c>
      <c r="I318" s="18" t="s">
        <v>287</v>
      </c>
      <c r="J318" s="18" t="s">
        <v>287</v>
      </c>
      <c r="K318" s="18"/>
      <c r="L318" s="19">
        <f t="shared" ref="L318:L324" si="16">SUM(F318:K318)</f>
        <v>325.85000000000002</v>
      </c>
      <c r="M318" s="8"/>
      <c r="N318" s="270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f>60412.15+13748.33</f>
        <v>74160.479999999996</v>
      </c>
      <c r="G319" s="18">
        <f>7874.79+5790.85</f>
        <v>13665.64</v>
      </c>
      <c r="H319" s="18">
        <f>12463.99+27867.6</f>
        <v>40331.589999999997</v>
      </c>
      <c r="I319" s="18">
        <f>1529.91+5427.15</f>
        <v>6957.0599999999995</v>
      </c>
      <c r="J319" s="18">
        <f>761.71</f>
        <v>761.71</v>
      </c>
      <c r="K319" s="18"/>
      <c r="L319" s="19">
        <f t="shared" si="16"/>
        <v>135876.47999999998</v>
      </c>
      <c r="M319" s="8"/>
      <c r="N319" s="270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0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>
        <f>155+6320.27</f>
        <v>6475.27</v>
      </c>
      <c r="I324" s="18"/>
      <c r="J324" s="18"/>
      <c r="K324" s="18"/>
      <c r="L324" s="19">
        <f t="shared" si="16"/>
        <v>6475.27</v>
      </c>
      <c r="M324" s="8"/>
      <c r="N324" s="270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0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0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199074.22999999998</v>
      </c>
      <c r="G327" s="42">
        <f t="shared" si="17"/>
        <v>69460.899999999994</v>
      </c>
      <c r="H327" s="42">
        <f t="shared" si="17"/>
        <v>47132.709999999992</v>
      </c>
      <c r="I327" s="42">
        <f t="shared" si="17"/>
        <v>9687.1899999999987</v>
      </c>
      <c r="J327" s="42">
        <f t="shared" si="17"/>
        <v>25127.22</v>
      </c>
      <c r="K327" s="42">
        <f t="shared" si="17"/>
        <v>0</v>
      </c>
      <c r="L327" s="41">
        <f t="shared" si="17"/>
        <v>350482.25</v>
      </c>
      <c r="M327" s="8"/>
      <c r="N327" s="270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0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0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0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0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0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0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630288.13</v>
      </c>
      <c r="G337" s="41">
        <f t="shared" si="20"/>
        <v>190688.40999999997</v>
      </c>
      <c r="H337" s="41">
        <f t="shared" si="20"/>
        <v>168830.03</v>
      </c>
      <c r="I337" s="41">
        <f t="shared" si="20"/>
        <v>66230.759999999995</v>
      </c>
      <c r="J337" s="41">
        <f t="shared" si="20"/>
        <v>71545.440000000002</v>
      </c>
      <c r="K337" s="41">
        <f t="shared" si="20"/>
        <v>0</v>
      </c>
      <c r="L337" s="41">
        <f t="shared" si="20"/>
        <v>1127582.77</v>
      </c>
      <c r="M337" s="8"/>
      <c r="N337" s="270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0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0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0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17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>
        <v>39137.800000000003</v>
      </c>
      <c r="L343" s="19">
        <f t="shared" ref="L343:L349" si="21">SUM(F343:K343)</f>
        <v>39137.800000000003</v>
      </c>
      <c r="M343" s="8"/>
      <c r="N343" s="270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0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0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0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39137.800000000003</v>
      </c>
      <c r="L350" s="41">
        <f>SUM(L340:L349)</f>
        <v>39137.800000000003</v>
      </c>
      <c r="M350" s="8"/>
      <c r="N350" s="270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630288.13</v>
      </c>
      <c r="G351" s="41">
        <f>G337</f>
        <v>190688.40999999997</v>
      </c>
      <c r="H351" s="41">
        <f>H337</f>
        <v>168830.03</v>
      </c>
      <c r="I351" s="41">
        <f>I337</f>
        <v>66230.759999999995</v>
      </c>
      <c r="J351" s="41">
        <f>J337</f>
        <v>71545.440000000002</v>
      </c>
      <c r="K351" s="47">
        <f>K337+K350</f>
        <v>39137.800000000003</v>
      </c>
      <c r="L351" s="41">
        <f>L337+L350</f>
        <v>1166720.57</v>
      </c>
      <c r="M351" s="52"/>
      <c r="N351" s="217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0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0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0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0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74947.94</v>
      </c>
      <c r="G357" s="18">
        <v>26487.42</v>
      </c>
      <c r="H357" s="18">
        <v>981.8</v>
      </c>
      <c r="I357" s="18">
        <f>4763.06+70810.59</f>
        <v>75573.649999999994</v>
      </c>
      <c r="J357" s="18">
        <v>600.73</v>
      </c>
      <c r="K357" s="18">
        <v>374.39</v>
      </c>
      <c r="L357" s="13">
        <f>SUM(F357:K357)</f>
        <v>178965.93000000002</v>
      </c>
      <c r="N357" s="181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69398.66</v>
      </c>
      <c r="G358" s="18">
        <v>27196.39</v>
      </c>
      <c r="H358" s="18">
        <v>3167.1</v>
      </c>
      <c r="I358" s="18">
        <f>5804.26+50990.77</f>
        <v>56795.03</v>
      </c>
      <c r="J358" s="18">
        <v>124.2</v>
      </c>
      <c r="K358" s="18">
        <v>320.7</v>
      </c>
      <c r="L358" s="19">
        <f>SUM(F358:K358)</f>
        <v>157002.08000000002</v>
      </c>
      <c r="M358" s="8"/>
      <c r="N358" s="270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85390.86</v>
      </c>
      <c r="G359" s="18">
        <v>37767.919999999998</v>
      </c>
      <c r="H359" s="18">
        <v>4622.4799999999996</v>
      </c>
      <c r="I359" s="18">
        <f>6088.73+75855.54</f>
        <v>81944.26999999999</v>
      </c>
      <c r="J359" s="18">
        <v>278</v>
      </c>
      <c r="K359" s="18">
        <v>320.16000000000003</v>
      </c>
      <c r="L359" s="19">
        <f>SUM(F359:K359)</f>
        <v>210323.68999999997</v>
      </c>
      <c r="M359" s="8"/>
      <c r="N359" s="270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0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229737.46000000002</v>
      </c>
      <c r="G361" s="47">
        <f t="shared" si="22"/>
        <v>91451.73</v>
      </c>
      <c r="H361" s="47">
        <f t="shared" si="22"/>
        <v>8771.3799999999992</v>
      </c>
      <c r="I361" s="47">
        <f t="shared" si="22"/>
        <v>214312.94999999998</v>
      </c>
      <c r="J361" s="47">
        <f t="shared" si="22"/>
        <v>1002.9300000000001</v>
      </c>
      <c r="K361" s="47">
        <f t="shared" si="22"/>
        <v>1015.25</v>
      </c>
      <c r="L361" s="47">
        <f t="shared" si="22"/>
        <v>546291.69999999995</v>
      </c>
      <c r="M361" s="8"/>
      <c r="N361" s="270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0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0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0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f>69375.45+1435.14</f>
        <v>70810.59</v>
      </c>
      <c r="G366" s="18">
        <f>48910.01+851.43+1229.33</f>
        <v>50990.770000000004</v>
      </c>
      <c r="H366" s="18">
        <f>68003.06+6625.24+1227.24</f>
        <v>75855.540000000008</v>
      </c>
      <c r="I366" s="56">
        <f>SUM(F366:H366)</f>
        <v>197656.90000000002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f>4295.79+351.54+115.73</f>
        <v>4763.0599999999995</v>
      </c>
      <c r="G367" s="63">
        <f>4044.66+1660.47+99.13</f>
        <v>5804.26</v>
      </c>
      <c r="H367" s="63">
        <f>4137.44+1852.32+98.97</f>
        <v>6088.73</v>
      </c>
      <c r="I367" s="56">
        <f>SUM(F367:H367)</f>
        <v>16656.05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75573.649999999994</v>
      </c>
      <c r="G368" s="47">
        <f>SUM(G366:G367)</f>
        <v>56795.030000000006</v>
      </c>
      <c r="H368" s="47">
        <f>SUM(H366:H367)</f>
        <v>81944.27</v>
      </c>
      <c r="I368" s="47">
        <f>SUM(I366:I367)</f>
        <v>214312.95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0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0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0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0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0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0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0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0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0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0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0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0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0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0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0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0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160000</v>
      </c>
      <c r="H395" s="18">
        <v>2559.98</v>
      </c>
      <c r="I395" s="18"/>
      <c r="J395" s="24" t="s">
        <v>289</v>
      </c>
      <c r="K395" s="24" t="s">
        <v>289</v>
      </c>
      <c r="L395" s="56">
        <f t="shared" si="26"/>
        <v>162559.98000000001</v>
      </c>
      <c r="M395" s="8"/>
      <c r="N395" s="270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1214.8599999999999</v>
      </c>
      <c r="I396" s="18"/>
      <c r="J396" s="24" t="s">
        <v>289</v>
      </c>
      <c r="K396" s="24" t="s">
        <v>289</v>
      </c>
      <c r="L396" s="56">
        <f t="shared" si="26"/>
        <v>1214.8599999999999</v>
      </c>
      <c r="M396" s="8"/>
      <c r="N396" s="270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0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>
        <v>35000</v>
      </c>
      <c r="H398" s="18">
        <v>675.57</v>
      </c>
      <c r="I398" s="18"/>
      <c r="J398" s="24" t="s">
        <v>289</v>
      </c>
      <c r="K398" s="24" t="s">
        <v>289</v>
      </c>
      <c r="L398" s="56">
        <f t="shared" si="26"/>
        <v>35675.57</v>
      </c>
      <c r="M398" s="8"/>
      <c r="N398" s="270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>
        <v>245.64</v>
      </c>
      <c r="I399" s="18"/>
      <c r="J399" s="24" t="s">
        <v>289</v>
      </c>
      <c r="K399" s="24" t="s">
        <v>289</v>
      </c>
      <c r="L399" s="56">
        <f t="shared" si="26"/>
        <v>245.64</v>
      </c>
      <c r="M399" s="8"/>
      <c r="N399" s="270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195000</v>
      </c>
      <c r="H400" s="47">
        <f>SUM(H394:H399)</f>
        <v>4696.05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199696.05000000002</v>
      </c>
      <c r="M400" s="8"/>
      <c r="N400" s="270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0"/>
    </row>
    <row r="402" spans="1:21" s="3" customFormat="1" ht="12" customHeight="1" x14ac:dyDescent="0.15">
      <c r="A402" s="110" t="s">
        <v>913</v>
      </c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>
        <v>611.04</v>
      </c>
      <c r="I402" s="18"/>
      <c r="J402" s="24" t="s">
        <v>289</v>
      </c>
      <c r="K402" s="24" t="s">
        <v>289</v>
      </c>
      <c r="L402" s="56">
        <f>SUM(F402:K402)</f>
        <v>611.04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611.04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611.04</v>
      </c>
      <c r="M406" s="8"/>
      <c r="N406" s="270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195000</v>
      </c>
      <c r="H407" s="47">
        <f>H392+H400+H406</f>
        <v>5307.09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200307.09000000003</v>
      </c>
      <c r="M407" s="8"/>
      <c r="N407" s="270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0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0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0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0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0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17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0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0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0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0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>
        <v>105288.25</v>
      </c>
      <c r="K421" s="18"/>
      <c r="L421" s="56">
        <f t="shared" si="29"/>
        <v>105288.25</v>
      </c>
      <c r="M421" s="8"/>
      <c r="N421" s="270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>
        <v>18963.55</v>
      </c>
      <c r="K424" s="18"/>
      <c r="L424" s="56">
        <f t="shared" si="29"/>
        <v>18963.55</v>
      </c>
      <c r="M424" s="8"/>
      <c r="N424" s="270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>
        <v>5493</v>
      </c>
      <c r="K425" s="18"/>
      <c r="L425" s="56">
        <f t="shared" si="29"/>
        <v>5493</v>
      </c>
      <c r="M425" s="8"/>
      <c r="N425" s="270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129744.8</v>
      </c>
      <c r="K426" s="47">
        <f t="shared" si="30"/>
        <v>0</v>
      </c>
      <c r="L426" s="47">
        <f t="shared" si="30"/>
        <v>129744.8</v>
      </c>
      <c r="M426" s="8"/>
      <c r="N426" s="270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 t="s">
        <v>913</v>
      </c>
      <c r="B428" s="6">
        <v>17</v>
      </c>
      <c r="C428" s="6">
        <v>15</v>
      </c>
      <c r="D428" s="2" t="s">
        <v>433</v>
      </c>
      <c r="E428" s="6"/>
      <c r="F428" s="18"/>
      <c r="G428" s="18"/>
      <c r="H428" s="18">
        <v>3322</v>
      </c>
      <c r="I428" s="18"/>
      <c r="J428" s="18"/>
      <c r="K428" s="18"/>
      <c r="L428" s="56">
        <f>SUM(F428:K428)</f>
        <v>3322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181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0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3322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3322</v>
      </c>
      <c r="M432" s="8"/>
      <c r="N432" s="270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3322</v>
      </c>
      <c r="I433" s="47">
        <f t="shared" si="32"/>
        <v>0</v>
      </c>
      <c r="J433" s="47">
        <f t="shared" si="32"/>
        <v>129744.8</v>
      </c>
      <c r="K433" s="47">
        <f t="shared" si="32"/>
        <v>0</v>
      </c>
      <c r="L433" s="47">
        <f t="shared" si="32"/>
        <v>133066.79999999999</v>
      </c>
      <c r="M433" s="8"/>
      <c r="N433" s="270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0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0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0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0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>
        <f>464937.83+176124.21</f>
        <v>641062.04</v>
      </c>
      <c r="H438" s="18">
        <v>79114.080000000002</v>
      </c>
      <c r="I438" s="56">
        <f t="shared" ref="I438:I444" si="33">SUM(F438:H438)</f>
        <v>720176.12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641062.04</v>
      </c>
      <c r="H445" s="13">
        <f>SUM(H438:H444)</f>
        <v>79114.080000000002</v>
      </c>
      <c r="I445" s="13">
        <f>SUM(I438:I444)</f>
        <v>720176.12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0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0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17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f>464937.83+176124.21</f>
        <v>641062.04</v>
      </c>
      <c r="H458" s="18">
        <f>79114.08</f>
        <v>79114.080000000002</v>
      </c>
      <c r="I458" s="56">
        <f t="shared" si="34"/>
        <v>720176.12</v>
      </c>
      <c r="J458" s="24" t="s">
        <v>289</v>
      </c>
      <c r="K458" s="24" t="s">
        <v>289</v>
      </c>
      <c r="L458" s="24" t="s">
        <v>289</v>
      </c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641062.04</v>
      </c>
      <c r="H459" s="83">
        <f>SUM(H453:H458)</f>
        <v>79114.080000000002</v>
      </c>
      <c r="I459" s="83">
        <f>SUM(I453:I458)</f>
        <v>720176.12</v>
      </c>
      <c r="J459" s="24" t="s">
        <v>289</v>
      </c>
      <c r="K459" s="24" t="s">
        <v>289</v>
      </c>
      <c r="L459" s="24" t="s">
        <v>289</v>
      </c>
      <c r="N459" s="217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641062.04</v>
      </c>
      <c r="H460" s="42">
        <f>H451+H459</f>
        <v>79114.080000000002</v>
      </c>
      <c r="I460" s="42">
        <f>I451+I459</f>
        <v>720176.12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17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17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17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403678.15</v>
      </c>
      <c r="G464" s="18">
        <v>0</v>
      </c>
      <c r="H464" s="18">
        <v>0</v>
      </c>
      <c r="I464" s="18">
        <v>0</v>
      </c>
      <c r="J464" s="18">
        <v>652935.82999999996</v>
      </c>
      <c r="K464" s="24" t="s">
        <v>289</v>
      </c>
      <c r="L464" s="24" t="s">
        <v>289</v>
      </c>
      <c r="N464" s="217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20346528.98</v>
      </c>
      <c r="G467" s="18">
        <v>546291.69999999995</v>
      </c>
      <c r="H467" s="18">
        <v>1166720.57</v>
      </c>
      <c r="I467" s="18"/>
      <c r="J467" s="18">
        <f>195000+5307.09</f>
        <v>200307.09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20346528.98</v>
      </c>
      <c r="G469" s="53">
        <f>SUM(G467:G468)</f>
        <v>546291.69999999995</v>
      </c>
      <c r="H469" s="53">
        <f>SUM(H467:H468)</f>
        <v>1166720.57</v>
      </c>
      <c r="I469" s="53">
        <f>SUM(I467:I468)</f>
        <v>0</v>
      </c>
      <c r="J469" s="53">
        <f>SUM(J467:J468)</f>
        <v>200307.09</v>
      </c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20495741.530000001</v>
      </c>
      <c r="G471" s="18">
        <v>546291.69999999995</v>
      </c>
      <c r="H471" s="18">
        <v>1166720.57</v>
      </c>
      <c r="I471" s="18"/>
      <c r="J471" s="18">
        <f>133066.8</f>
        <v>133066.79999999999</v>
      </c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20495741.530000001</v>
      </c>
      <c r="G473" s="53">
        <f>SUM(G471:G472)</f>
        <v>546291.69999999995</v>
      </c>
      <c r="H473" s="53">
        <f>SUM(H471:H472)</f>
        <v>1166720.57</v>
      </c>
      <c r="I473" s="53">
        <f>SUM(I471:I472)</f>
        <v>0</v>
      </c>
      <c r="J473" s="53">
        <f>SUM(J471:J472)</f>
        <v>133066.79999999999</v>
      </c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254465.59999999776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720176.11999999988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17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17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17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17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17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17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17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17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17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17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>
        <v>10</v>
      </c>
      <c r="H489" s="154"/>
      <c r="I489" s="154"/>
      <c r="J489" s="154"/>
      <c r="K489" s="24" t="s">
        <v>289</v>
      </c>
      <c r="L489" s="24" t="s">
        <v>289</v>
      </c>
      <c r="N489" s="217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 t="s">
        <v>910</v>
      </c>
      <c r="H490" s="154"/>
      <c r="I490" s="154"/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 t="s">
        <v>912</v>
      </c>
      <c r="H491" s="154"/>
      <c r="I491" s="154"/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13402490</v>
      </c>
      <c r="G492" s="18">
        <v>246250</v>
      </c>
      <c r="H492" s="18"/>
      <c r="I492" s="18"/>
      <c r="J492" s="18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4.13</v>
      </c>
      <c r="G493" s="18">
        <v>44.3</v>
      </c>
      <c r="H493" s="18"/>
      <c r="I493" s="18"/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7861268.1200000001</v>
      </c>
      <c r="G494" s="18">
        <v>49250</v>
      </c>
      <c r="H494" s="18"/>
      <c r="I494" s="18"/>
      <c r="J494" s="18"/>
      <c r="K494" s="53">
        <f>SUM(F494:J494)</f>
        <v>7910518.1200000001</v>
      </c>
      <c r="L494" s="24" t="s">
        <v>289</v>
      </c>
      <c r="N494" s="217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>
        <v>0</v>
      </c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17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739998.95</v>
      </c>
      <c r="G496" s="18">
        <v>24625</v>
      </c>
      <c r="H496" s="18"/>
      <c r="I496" s="18"/>
      <c r="J496" s="18"/>
      <c r="K496" s="53">
        <f t="shared" si="35"/>
        <v>764623.95</v>
      </c>
      <c r="L496" s="24" t="s">
        <v>289</v>
      </c>
      <c r="N496" s="217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f>F494-F496</f>
        <v>7121269.1699999999</v>
      </c>
      <c r="G497" s="204">
        <f>G494-G496</f>
        <v>24625</v>
      </c>
      <c r="H497" s="204"/>
      <c r="I497" s="204"/>
      <c r="J497" s="204"/>
      <c r="K497" s="205">
        <f t="shared" si="35"/>
        <v>7145894.1699999999</v>
      </c>
      <c r="L497" s="206" t="s">
        <v>289</v>
      </c>
      <c r="N497" s="217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5665610.8300000001</v>
      </c>
      <c r="G498" s="18">
        <v>1058.8800000000001</v>
      </c>
      <c r="H498" s="18"/>
      <c r="I498" s="18"/>
      <c r="J498" s="18"/>
      <c r="K498" s="53">
        <f t="shared" si="35"/>
        <v>5666669.71</v>
      </c>
      <c r="L498" s="24" t="s">
        <v>289</v>
      </c>
      <c r="N498" s="217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12786880</v>
      </c>
      <c r="G499" s="42">
        <f>SUM(G497:G498)</f>
        <v>25683.88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12812563.880000001</v>
      </c>
      <c r="L499" s="45" t="s">
        <v>289</v>
      </c>
      <c r="N499" s="217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705829.76</v>
      </c>
      <c r="G500" s="204">
        <v>24625</v>
      </c>
      <c r="H500" s="204"/>
      <c r="I500" s="204"/>
      <c r="J500" s="204"/>
      <c r="K500" s="205">
        <f t="shared" si="35"/>
        <v>730454.76</v>
      </c>
      <c r="L500" s="206" t="s">
        <v>289</v>
      </c>
      <c r="N500" s="217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302908.24</v>
      </c>
      <c r="G501" s="18">
        <v>1058.8800000000001</v>
      </c>
      <c r="H501" s="18"/>
      <c r="I501" s="18"/>
      <c r="J501" s="18"/>
      <c r="K501" s="53">
        <f t="shared" si="35"/>
        <v>303967.12</v>
      </c>
      <c r="L501" s="24" t="s">
        <v>289</v>
      </c>
      <c r="N501" s="217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1008738</v>
      </c>
      <c r="G502" s="42">
        <f>SUM(G500:G501)</f>
        <v>25683.88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1034421.88</v>
      </c>
      <c r="L502" s="45" t="s">
        <v>289</v>
      </c>
      <c r="N502" s="217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17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17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17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17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17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17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17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17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17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628688.61+44656.41+96385.78+5049.22</f>
        <v>774780.02</v>
      </c>
      <c r="G520" s="18">
        <f>369809.66+11331.72+58174.79+3344.77</f>
        <v>442660.93999999994</v>
      </c>
      <c r="H520" s="18">
        <f>316691.87+98862.22</f>
        <v>415554.08999999997</v>
      </c>
      <c r="I520" s="18">
        <f>3763.83+1834.04</f>
        <v>5597.87</v>
      </c>
      <c r="J520" s="18">
        <f>2342.1+659.25</f>
        <v>3001.35</v>
      </c>
      <c r="K520" s="18">
        <f>8265.15</f>
        <v>8265.15</v>
      </c>
      <c r="L520" s="88">
        <f>SUM(F520:K520)</f>
        <v>1649859.42</v>
      </c>
      <c r="N520" s="217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f>527753.83+38252.32</f>
        <v>566006.14999999991</v>
      </c>
      <c r="G521" s="18">
        <f>355442.43+9706.66</f>
        <v>365149.08999999997</v>
      </c>
      <c r="H521" s="18">
        <f>106961.18+84684.57</f>
        <v>191645.75</v>
      </c>
      <c r="I521" s="18">
        <f>2701.6+1571.03</f>
        <v>4272.63</v>
      </c>
      <c r="J521" s="18">
        <f>4562.46+564.7</f>
        <v>5127.16</v>
      </c>
      <c r="K521" s="18">
        <f>7079.86</f>
        <v>7079.86</v>
      </c>
      <c r="L521" s="88">
        <f>SUM(F521:K521)</f>
        <v>1139280.6399999997</v>
      </c>
      <c r="N521" s="217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f>442330.59+38187.29+95365.5</f>
        <v>575883.38</v>
      </c>
      <c r="G522" s="18">
        <f>309325.56+9690.16+51499.54</f>
        <v>370515.25999999995</v>
      </c>
      <c r="H522" s="18">
        <f>332240.21+84540.62</f>
        <v>416780.83</v>
      </c>
      <c r="I522" s="18">
        <f>2966.92+1568.36</f>
        <v>4535.28</v>
      </c>
      <c r="J522" s="18">
        <f>2518.98+563.75</f>
        <v>3082.73</v>
      </c>
      <c r="K522" s="18">
        <f>7067.82</f>
        <v>7067.82</v>
      </c>
      <c r="L522" s="88">
        <f>SUM(F522:K522)</f>
        <v>1377865.3</v>
      </c>
      <c r="N522" s="217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1916669.5499999998</v>
      </c>
      <c r="G523" s="108">
        <f t="shared" ref="G523:L523" si="36">SUM(G520:G522)</f>
        <v>1178325.2899999998</v>
      </c>
      <c r="H523" s="108">
        <f t="shared" si="36"/>
        <v>1023980.6699999999</v>
      </c>
      <c r="I523" s="108">
        <f t="shared" si="36"/>
        <v>14405.779999999999</v>
      </c>
      <c r="J523" s="108">
        <f t="shared" si="36"/>
        <v>11211.24</v>
      </c>
      <c r="K523" s="108">
        <f t="shared" si="36"/>
        <v>22412.829999999998</v>
      </c>
      <c r="L523" s="89">
        <f t="shared" si="36"/>
        <v>4167005.3599999994</v>
      </c>
      <c r="N523" s="217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17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f>53994.73+49215.73+12991.25+500</f>
        <v>116701.71</v>
      </c>
      <c r="G525" s="18">
        <f>19901.06+28244.62+2727.68+88.5</f>
        <v>50961.86</v>
      </c>
      <c r="H525" s="18">
        <f>325.99+208.71+7358.33</f>
        <v>7893.03</v>
      </c>
      <c r="I525" s="18">
        <f>1935.62+911.61</f>
        <v>2847.23</v>
      </c>
      <c r="J525" s="18">
        <f>2656.57</f>
        <v>2656.57</v>
      </c>
      <c r="K525" s="18">
        <f>5198.35+315.88</f>
        <v>5514.2300000000005</v>
      </c>
      <c r="L525" s="88">
        <f>SUM(F525:K525)</f>
        <v>186574.63000000003</v>
      </c>
      <c r="M525" s="8"/>
      <c r="N525" s="270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f>46251.45+54657+5196.5+500</f>
        <v>106604.95</v>
      </c>
      <c r="G526" s="18">
        <f>17047.09+18835.44+1091.07+88.5</f>
        <v>37062.1</v>
      </c>
      <c r="H526" s="18">
        <f>279.24+178.78+7358.33</f>
        <v>7816.35</v>
      </c>
      <c r="I526" s="18">
        <f>1658.03+780.87</f>
        <v>2438.9</v>
      </c>
      <c r="J526" s="18">
        <f>2656.57</f>
        <v>2656.57</v>
      </c>
      <c r="K526" s="18">
        <f>4452.87+270.58</f>
        <v>4723.45</v>
      </c>
      <c r="L526" s="88">
        <f>SUM(F526:K526)</f>
        <v>161302.32</v>
      </c>
      <c r="M526" s="8"/>
      <c r="N526" s="270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f>46172.82+38657+12991.25+500</f>
        <v>98321.07</v>
      </c>
      <c r="G527" s="18">
        <f>17018.11+29942.89+2727.68+88.5</f>
        <v>49777.18</v>
      </c>
      <c r="H527" s="18">
        <f>278.77+178.48+7358.34</f>
        <v>7815.59</v>
      </c>
      <c r="I527" s="18">
        <f>1655.22+779.54+1453.49</f>
        <v>3888.25</v>
      </c>
      <c r="J527" s="18">
        <f>2656.56+1918.11</f>
        <v>4574.67</v>
      </c>
      <c r="K527" s="18">
        <f>4445.3+270.11</f>
        <v>4715.41</v>
      </c>
      <c r="L527" s="88">
        <f>SUM(F527:K527)</f>
        <v>169092.17</v>
      </c>
      <c r="M527" s="8"/>
      <c r="N527" s="270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321627.73</v>
      </c>
      <c r="G528" s="89">
        <f t="shared" ref="G528:L528" si="37">SUM(G525:G527)</f>
        <v>137801.13999999998</v>
      </c>
      <c r="H528" s="89">
        <f t="shared" si="37"/>
        <v>23524.97</v>
      </c>
      <c r="I528" s="89">
        <f t="shared" si="37"/>
        <v>9174.380000000001</v>
      </c>
      <c r="J528" s="89">
        <f t="shared" si="37"/>
        <v>9887.8100000000013</v>
      </c>
      <c r="K528" s="89">
        <f t="shared" si="37"/>
        <v>14953.09</v>
      </c>
      <c r="L528" s="89">
        <f t="shared" si="37"/>
        <v>516969.12000000011</v>
      </c>
      <c r="M528" s="8"/>
      <c r="N528" s="270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0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f>39110.96</f>
        <v>39110.959999999999</v>
      </c>
      <c r="G530" s="18">
        <f>23040.16</f>
        <v>23040.16</v>
      </c>
      <c r="H530" s="18">
        <f>422.43</f>
        <v>422.43</v>
      </c>
      <c r="I530" s="18" t="s">
        <v>287</v>
      </c>
      <c r="J530" s="18"/>
      <c r="K530" s="18">
        <f>460.96</f>
        <v>460.96</v>
      </c>
      <c r="L530" s="88">
        <f>SUM(F530:K530)</f>
        <v>63034.509999999995</v>
      </c>
      <c r="M530" s="8"/>
      <c r="N530" s="270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f>33502.12</f>
        <v>33502.120000000003</v>
      </c>
      <c r="G531" s="18">
        <f>19736.02</f>
        <v>19736.02</v>
      </c>
      <c r="H531" s="18">
        <f>361.85</f>
        <v>361.85</v>
      </c>
      <c r="I531" s="18" t="s">
        <v>287</v>
      </c>
      <c r="J531" s="18"/>
      <c r="K531" s="18">
        <f>394.86</f>
        <v>394.86</v>
      </c>
      <c r="L531" s="88">
        <f>SUM(F531:K531)</f>
        <v>53994.85</v>
      </c>
      <c r="M531" s="8"/>
      <c r="N531" s="270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f>33445.17</f>
        <v>33445.17</v>
      </c>
      <c r="G532" s="18">
        <f>19702.47</f>
        <v>19702.47</v>
      </c>
      <c r="H532" s="18">
        <f>361.24</f>
        <v>361.24</v>
      </c>
      <c r="I532" s="18" t="s">
        <v>287</v>
      </c>
      <c r="J532" s="18"/>
      <c r="K532" s="18">
        <f>394.18</f>
        <v>394.18</v>
      </c>
      <c r="L532" s="88">
        <f>SUM(F532:K532)</f>
        <v>53903.06</v>
      </c>
      <c r="M532" s="8"/>
      <c r="N532" s="270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106058.25</v>
      </c>
      <c r="G533" s="89">
        <f t="shared" ref="G533:L533" si="38">SUM(G530:G532)</f>
        <v>62478.65</v>
      </c>
      <c r="H533" s="89">
        <f t="shared" si="38"/>
        <v>1145.52</v>
      </c>
      <c r="I533" s="89">
        <f t="shared" si="38"/>
        <v>0</v>
      </c>
      <c r="J533" s="89">
        <f t="shared" si="38"/>
        <v>0</v>
      </c>
      <c r="K533" s="89">
        <f t="shared" si="38"/>
        <v>1250</v>
      </c>
      <c r="L533" s="89">
        <f t="shared" si="38"/>
        <v>170932.41999999998</v>
      </c>
      <c r="M533" s="8"/>
      <c r="N533" s="270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0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f>14203.98</f>
        <v>14203.98</v>
      </c>
      <c r="I535" s="18"/>
      <c r="J535" s="18"/>
      <c r="K535" s="18"/>
      <c r="L535" s="88">
        <f>SUM(F535:K535)</f>
        <v>14203.98</v>
      </c>
      <c r="M535" s="8"/>
      <c r="N535" s="270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>
        <f>12167.02</f>
        <v>12167.02</v>
      </c>
      <c r="I536" s="18"/>
      <c r="J536" s="18"/>
      <c r="K536" s="18"/>
      <c r="L536" s="88">
        <f>SUM(F536:K536)</f>
        <v>12167.02</v>
      </c>
      <c r="M536" s="8"/>
      <c r="N536" s="270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f>12146.33</f>
        <v>12146.33</v>
      </c>
      <c r="I537" s="18"/>
      <c r="J537" s="18"/>
      <c r="K537" s="18"/>
      <c r="L537" s="88">
        <f>SUM(F537:K537)</f>
        <v>12146.33</v>
      </c>
      <c r="M537" s="8"/>
      <c r="N537" s="270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38517.33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38517.33</v>
      </c>
      <c r="M538" s="8"/>
      <c r="N538" s="270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0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f>119071.95+63351.22</f>
        <v>182423.16999999998</v>
      </c>
      <c r="I540" s="18"/>
      <c r="J540" s="18"/>
      <c r="K540" s="18"/>
      <c r="L540" s="88">
        <f>SUM(F540:K540)</f>
        <v>182423.16999999998</v>
      </c>
      <c r="M540" s="8"/>
      <c r="N540" s="270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f>47628.78+24365.85</f>
        <v>71994.63</v>
      </c>
      <c r="I541" s="18"/>
      <c r="J541" s="18"/>
      <c r="K541" s="18"/>
      <c r="L541" s="88">
        <f>SUM(F541:K541)</f>
        <v>71994.63</v>
      </c>
      <c r="M541" s="8"/>
      <c r="N541" s="270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f>119071.94+12182.93</f>
        <v>131254.87</v>
      </c>
      <c r="I542" s="18"/>
      <c r="J542" s="18"/>
      <c r="K542" s="18"/>
      <c r="L542" s="88">
        <f>SUM(F542:K542)</f>
        <v>131254.87</v>
      </c>
      <c r="M542" s="8"/>
      <c r="N542" s="270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385672.67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385672.67</v>
      </c>
      <c r="M543" s="8"/>
      <c r="N543" s="270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2344355.5299999998</v>
      </c>
      <c r="G544" s="89">
        <f t="shared" ref="G544:L544" si="41">G523+G528+G533+G538+G543</f>
        <v>1378605.0799999996</v>
      </c>
      <c r="H544" s="89">
        <f t="shared" si="41"/>
        <v>1472841.16</v>
      </c>
      <c r="I544" s="89">
        <f t="shared" si="41"/>
        <v>23580.16</v>
      </c>
      <c r="J544" s="89">
        <f t="shared" si="41"/>
        <v>21099.050000000003</v>
      </c>
      <c r="K544" s="89">
        <f t="shared" si="41"/>
        <v>38615.919999999998</v>
      </c>
      <c r="L544" s="89">
        <f t="shared" si="41"/>
        <v>5279096.8999999994</v>
      </c>
      <c r="M544" s="8"/>
      <c r="N544" s="270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0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0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0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1649859.42</v>
      </c>
      <c r="G548" s="87">
        <f>L525</f>
        <v>186574.63000000003</v>
      </c>
      <c r="H548" s="87">
        <f>L530</f>
        <v>63034.509999999995</v>
      </c>
      <c r="I548" s="87">
        <f>L535</f>
        <v>14203.98</v>
      </c>
      <c r="J548" s="87">
        <f>L540</f>
        <v>182423.16999999998</v>
      </c>
      <c r="K548" s="87">
        <f>SUM(F548:J548)</f>
        <v>2096095.71</v>
      </c>
      <c r="L548" s="24" t="s">
        <v>289</v>
      </c>
      <c r="M548" s="8"/>
      <c r="N548" s="270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1139280.6399999997</v>
      </c>
      <c r="G549" s="87">
        <f>L526</f>
        <v>161302.32</v>
      </c>
      <c r="H549" s="87">
        <f>L531</f>
        <v>53994.85</v>
      </c>
      <c r="I549" s="87">
        <f>L536</f>
        <v>12167.02</v>
      </c>
      <c r="J549" s="87">
        <f>L541</f>
        <v>71994.63</v>
      </c>
      <c r="K549" s="87">
        <f>SUM(F549:J549)</f>
        <v>1438739.46</v>
      </c>
      <c r="L549" s="24" t="s">
        <v>289</v>
      </c>
      <c r="M549" s="8"/>
      <c r="N549" s="270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1377865.3</v>
      </c>
      <c r="G550" s="87">
        <f>L527</f>
        <v>169092.17</v>
      </c>
      <c r="H550" s="87">
        <f>L532</f>
        <v>53903.06</v>
      </c>
      <c r="I550" s="87">
        <f>L537</f>
        <v>12146.33</v>
      </c>
      <c r="J550" s="87">
        <f>L542</f>
        <v>131254.87</v>
      </c>
      <c r="K550" s="87">
        <f>SUM(F550:J550)</f>
        <v>1744261.73</v>
      </c>
      <c r="L550" s="24" t="s">
        <v>289</v>
      </c>
      <c r="M550" s="8"/>
      <c r="N550" s="270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4167005.3599999994</v>
      </c>
      <c r="G551" s="89">
        <f t="shared" si="42"/>
        <v>516969.12000000011</v>
      </c>
      <c r="H551" s="89">
        <f t="shared" si="42"/>
        <v>170932.41999999998</v>
      </c>
      <c r="I551" s="89">
        <f t="shared" si="42"/>
        <v>38517.33</v>
      </c>
      <c r="J551" s="89">
        <f t="shared" si="42"/>
        <v>385672.67</v>
      </c>
      <c r="K551" s="89">
        <f t="shared" si="42"/>
        <v>5279096.9000000004</v>
      </c>
      <c r="L551" s="24"/>
      <c r="M551" s="8"/>
      <c r="N551" s="270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0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0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0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0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0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0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0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f>17697.89</f>
        <v>17697.89</v>
      </c>
      <c r="G561" s="18">
        <f>3571.04</f>
        <v>3571.04</v>
      </c>
      <c r="H561" s="18"/>
      <c r="I561" s="18">
        <f>290.73</f>
        <v>290.73</v>
      </c>
      <c r="J561" s="18"/>
      <c r="K561" s="18"/>
      <c r="L561" s="88">
        <f>SUM(F561:K561)</f>
        <v>21559.66</v>
      </c>
      <c r="M561" s="8"/>
      <c r="N561" s="270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f>15159.87</f>
        <v>15159.87</v>
      </c>
      <c r="G562" s="18">
        <f>3058.93</f>
        <v>3058.93</v>
      </c>
      <c r="H562" s="18"/>
      <c r="I562" s="18">
        <f>249.04</f>
        <v>249.04</v>
      </c>
      <c r="J562" s="18"/>
      <c r="K562" s="18"/>
      <c r="L562" s="88">
        <f>SUM(F562:K562)</f>
        <v>18467.84</v>
      </c>
      <c r="M562" s="8"/>
      <c r="N562" s="270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f>15134.09</f>
        <v>15134.09</v>
      </c>
      <c r="G563" s="18">
        <f>3053.73</f>
        <v>3053.73</v>
      </c>
      <c r="H563" s="18"/>
      <c r="I563" s="18">
        <f>248.62</f>
        <v>248.62</v>
      </c>
      <c r="J563" s="18"/>
      <c r="K563" s="18"/>
      <c r="L563" s="88">
        <f>SUM(F563:K563)</f>
        <v>18436.439999999999</v>
      </c>
      <c r="M563" s="8"/>
      <c r="N563" s="270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47991.850000000006</v>
      </c>
      <c r="G564" s="89">
        <f t="shared" si="44"/>
        <v>9683.6999999999989</v>
      </c>
      <c r="H564" s="89">
        <f t="shared" si="44"/>
        <v>0</v>
      </c>
      <c r="I564" s="89">
        <f t="shared" si="44"/>
        <v>788.39</v>
      </c>
      <c r="J564" s="89">
        <f t="shared" si="44"/>
        <v>0</v>
      </c>
      <c r="K564" s="89">
        <f t="shared" si="44"/>
        <v>0</v>
      </c>
      <c r="L564" s="89">
        <f t="shared" si="44"/>
        <v>58463.94</v>
      </c>
      <c r="M564" s="8"/>
      <c r="N564" s="270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0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0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0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47991.850000000006</v>
      </c>
      <c r="G570" s="89">
        <f t="shared" ref="G570:L570" si="46">G559+G564+G569</f>
        <v>9683.6999999999989</v>
      </c>
      <c r="H570" s="89">
        <f t="shared" si="46"/>
        <v>0</v>
      </c>
      <c r="I570" s="89">
        <f t="shared" si="46"/>
        <v>788.39</v>
      </c>
      <c r="J570" s="89">
        <f t="shared" si="46"/>
        <v>0</v>
      </c>
      <c r="K570" s="89">
        <f t="shared" si="46"/>
        <v>0</v>
      </c>
      <c r="L570" s="89">
        <f t="shared" si="46"/>
        <v>58463.94</v>
      </c>
      <c r="M570" s="8"/>
      <c r="N570" s="270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0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0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12310.76</v>
      </c>
      <c r="I574" s="87">
        <f>SUM(F574:H574)</f>
        <v>12310.76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 t="s">
        <v>287</v>
      </c>
      <c r="G578" s="18"/>
      <c r="H578" s="18">
        <v>24796.14</v>
      </c>
      <c r="I578" s="87">
        <f t="shared" si="47"/>
        <v>24796.14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 t="s">
        <v>287</v>
      </c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250759.73</v>
      </c>
      <c r="G581" s="18">
        <v>106961.18</v>
      </c>
      <c r="H581" s="18">
        <v>285645.46999999997</v>
      </c>
      <c r="I581" s="87">
        <f t="shared" si="47"/>
        <v>643366.38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>
        <v>65932.14</v>
      </c>
      <c r="G582" s="18"/>
      <c r="H582" s="18">
        <v>21798.6</v>
      </c>
      <c r="I582" s="87">
        <f t="shared" si="47"/>
        <v>87730.739999999991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155257.5</v>
      </c>
      <c r="I583" s="87">
        <f t="shared" si="47"/>
        <v>155257.5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0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0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141740.29</v>
      </c>
      <c r="I590" s="18">
        <v>124022.75</v>
      </c>
      <c r="J590" s="18">
        <v>106305.21</v>
      </c>
      <c r="K590" s="104">
        <f t="shared" ref="K590:K596" si="48">SUM(H590:J590)</f>
        <v>372068.25000000006</v>
      </c>
      <c r="L590" s="24" t="s">
        <v>289</v>
      </c>
      <c r="M590" s="8"/>
      <c r="N590" s="270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f>119071.95+63351.22</f>
        <v>182423.16999999998</v>
      </c>
      <c r="I591" s="18">
        <f>47628.78+24365.85</f>
        <v>71994.63</v>
      </c>
      <c r="J591" s="18">
        <f>119071.94+12182.93</f>
        <v>131254.87</v>
      </c>
      <c r="K591" s="104">
        <f t="shared" si="48"/>
        <v>385672.67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43695</v>
      </c>
      <c r="K592" s="104">
        <f t="shared" si="48"/>
        <v>43695</v>
      </c>
      <c r="L592" s="24" t="s">
        <v>289</v>
      </c>
      <c r="M592" s="8"/>
      <c r="N592" s="270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4535.95</v>
      </c>
      <c r="J593" s="18">
        <v>25884.45</v>
      </c>
      <c r="K593" s="104">
        <f t="shared" si="48"/>
        <v>30420.400000000001</v>
      </c>
      <c r="L593" s="24" t="s">
        <v>289</v>
      </c>
      <c r="M593" s="8"/>
      <c r="N593" s="270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2254</v>
      </c>
      <c r="I594" s="18">
        <v>1050.6500000000001</v>
      </c>
      <c r="J594" s="18">
        <v>5994.78</v>
      </c>
      <c r="K594" s="104">
        <f t="shared" si="48"/>
        <v>9299.43</v>
      </c>
      <c r="L594" s="24" t="s">
        <v>289</v>
      </c>
      <c r="M594" s="8"/>
      <c r="N594" s="270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0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0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326417.45999999996</v>
      </c>
      <c r="I597" s="108">
        <f>SUM(I590:I596)</f>
        <v>201603.98</v>
      </c>
      <c r="J597" s="108">
        <f>SUM(J590:J596)</f>
        <v>313134.31000000006</v>
      </c>
      <c r="K597" s="108">
        <f>SUM(K590:K596)</f>
        <v>841155.75000000012</v>
      </c>
      <c r="L597" s="24" t="s">
        <v>289</v>
      </c>
      <c r="M597" s="8"/>
      <c r="N597" s="270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0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0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0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22896.97+8244.28+19790.83+2656.57+761.71</f>
        <v>54350.36</v>
      </c>
      <c r="I603" s="18">
        <f>28989.18+7061.98+19790.83+2656.57+761.71</f>
        <v>59260.270000000004</v>
      </c>
      <c r="J603" s="18">
        <f>36970.5+7049.98+19790.83+1918.11+2656.56+761.72</f>
        <v>69147.7</v>
      </c>
      <c r="K603" s="104">
        <f>SUM(H603:J603)</f>
        <v>182758.33000000002</v>
      </c>
      <c r="L603" s="24" t="s">
        <v>289</v>
      </c>
      <c r="M603" s="8"/>
      <c r="N603" s="270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54350.36</v>
      </c>
      <c r="I604" s="108">
        <f>SUM(I601:I603)</f>
        <v>59260.270000000004</v>
      </c>
      <c r="J604" s="108">
        <f>SUM(J601:J603)</f>
        <v>69147.7</v>
      </c>
      <c r="K604" s="108">
        <f>SUM(K601:K603)</f>
        <v>182758.33000000002</v>
      </c>
      <c r="L604" s="24" t="s">
        <v>289</v>
      </c>
      <c r="M604" s="8"/>
      <c r="N604" s="270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0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0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0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0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0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7900</v>
      </c>
      <c r="G612" s="18">
        <f>604.35+718.68</f>
        <v>1323.03</v>
      </c>
      <c r="H612" s="18"/>
      <c r="I612" s="18"/>
      <c r="J612" s="18"/>
      <c r="K612" s="18"/>
      <c r="L612" s="88">
        <f>SUM(F612:K612)</f>
        <v>9223.0300000000007</v>
      </c>
      <c r="M612" s="8"/>
      <c r="N612" s="270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7900</v>
      </c>
      <c r="G613" s="108">
        <f t="shared" si="49"/>
        <v>1323.03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9223.0300000000007</v>
      </c>
      <c r="M613" s="8"/>
      <c r="N613" s="270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952790.63000000012</v>
      </c>
      <c r="H616" s="109">
        <f>SUM(F51)</f>
        <v>952790.63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38738.629999999997</v>
      </c>
      <c r="H617" s="109">
        <f>SUM(G51)</f>
        <v>38738.630000000005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143786.87</v>
      </c>
      <c r="H618" s="109">
        <f>SUM(H51)</f>
        <v>143786.87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720176.12</v>
      </c>
      <c r="H620" s="109">
        <f>SUM(J51)</f>
        <v>720176.12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254465.59999999998</v>
      </c>
      <c r="H621" s="109">
        <f>F475</f>
        <v>254465.59999999776</v>
      </c>
      <c r="I621" s="121" t="s">
        <v>101</v>
      </c>
      <c r="J621" s="109">
        <f t="shared" ref="J621:J654" si="50">G621-H621</f>
        <v>2.2118911147117615E-9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720176.12</v>
      </c>
      <c r="H625" s="109">
        <f>J475</f>
        <v>720176.11999999988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20346528.98</v>
      </c>
      <c r="H626" s="104">
        <f>SUM(F467)</f>
        <v>20346528.98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546291.70000000007</v>
      </c>
      <c r="H627" s="104">
        <f>SUM(G467)</f>
        <v>546291.69999999995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1166720.5699999998</v>
      </c>
      <c r="H628" s="104">
        <f>SUM(H467)</f>
        <v>1166720.57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200307.09</v>
      </c>
      <c r="H630" s="104">
        <f>SUM(J467)</f>
        <v>200307.09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20495741.530000001</v>
      </c>
      <c r="H631" s="104">
        <f>SUM(F471)</f>
        <v>20495741.530000001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1166720.57</v>
      </c>
      <c r="H632" s="104">
        <f>SUM(H471)</f>
        <v>1166720.57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214312.94999999998</v>
      </c>
      <c r="H633" s="104">
        <f>I368</f>
        <v>214312.95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546291.69999999995</v>
      </c>
      <c r="H634" s="104">
        <f>SUM(G471)</f>
        <v>546291.69999999995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200307.09000000003</v>
      </c>
      <c r="H636" s="164">
        <f>SUM(J467)</f>
        <v>200307.09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133066.79999999999</v>
      </c>
      <c r="H637" s="164">
        <f>SUM(J471)</f>
        <v>133066.79999999999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641062.04</v>
      </c>
      <c r="H639" s="104">
        <f>SUM(G460)</f>
        <v>641062.04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79114.080000000002</v>
      </c>
      <c r="H640" s="104">
        <f>SUM(H460)</f>
        <v>79114.080000000002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720176.12</v>
      </c>
      <c r="H641" s="104">
        <f>SUM(I460)</f>
        <v>720176.12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5307.09</v>
      </c>
      <c r="H643" s="104">
        <f>H407</f>
        <v>5307.09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195000</v>
      </c>
      <c r="H644" s="104">
        <f>G407</f>
        <v>195000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200307.09</v>
      </c>
      <c r="H645" s="104">
        <f>L407</f>
        <v>200307.09000000003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841155.75000000012</v>
      </c>
      <c r="H646" s="104">
        <f>L207+L225+L243</f>
        <v>841155.75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182758.33000000002</v>
      </c>
      <c r="H647" s="104">
        <f>(J256+J337)-(J254+J335)</f>
        <v>182758.33000000002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326417.45999999996</v>
      </c>
      <c r="H648" s="104">
        <f>H597</f>
        <v>326417.45999999996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201603.98</v>
      </c>
      <c r="H649" s="104">
        <f>I597</f>
        <v>201603.98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313134.31</v>
      </c>
      <c r="H650" s="104">
        <f>J597</f>
        <v>313134.31000000006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28761.23</v>
      </c>
      <c r="H651" s="104">
        <f>K262+K344</f>
        <v>28761.23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195000</v>
      </c>
      <c r="H654" s="104">
        <f>K265+K346</f>
        <v>195000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7241665.0800000001</v>
      </c>
      <c r="G659" s="19">
        <f>(L228+L308+L358)</f>
        <v>6523724.2699999996</v>
      </c>
      <c r="H659" s="19">
        <f>(L246+L327+L359)</f>
        <v>7122596.4699999997</v>
      </c>
      <c r="I659" s="19">
        <f>SUM(F659:H659)</f>
        <v>20887985.82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95081.162001435718</v>
      </c>
      <c r="G660" s="19">
        <f>(L358/IF(SUM(L357:L359)=0,1,SUM(L357:L359))*(SUM(G96:G109)))</f>
        <v>83412.190259019524</v>
      </c>
      <c r="H660" s="19">
        <f>(L359/IF(SUM(L357:L359)=0,1,SUM(L357:L359))*(SUM(G96:G109)))</f>
        <v>111740.93773954484</v>
      </c>
      <c r="I660" s="19">
        <f>SUM(F660:H660)</f>
        <v>290234.2900000001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332737.73</v>
      </c>
      <c r="G661" s="19">
        <f>(L225+L305)-(J225+J305)</f>
        <v>207924.25</v>
      </c>
      <c r="H661" s="19">
        <f>(L243+L324)-(J243+J324)</f>
        <v>319609.58</v>
      </c>
      <c r="I661" s="19">
        <f>SUM(F661:H661)</f>
        <v>860271.56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371042.23</v>
      </c>
      <c r="G662" s="199">
        <f>SUM(G574:G586)+SUM(I601:I603)+L611</f>
        <v>166221.45000000001</v>
      </c>
      <c r="H662" s="199">
        <f>SUM(H574:H586)+SUM(J601:J603)+L612</f>
        <v>578179.19999999995</v>
      </c>
      <c r="I662" s="19">
        <f>SUM(F662:H662)</f>
        <v>1115442.8799999999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6442803.9579985645</v>
      </c>
      <c r="G663" s="19">
        <f>G659-SUM(G660:G662)</f>
        <v>6066166.3797409805</v>
      </c>
      <c r="H663" s="19">
        <f>H659-SUM(H660:H662)</f>
        <v>6113066.7522604549</v>
      </c>
      <c r="I663" s="19">
        <f>I659-SUM(I660:I662)</f>
        <v>18622037.09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508.2</v>
      </c>
      <c r="G664" s="248">
        <v>435.32</v>
      </c>
      <c r="H664" s="248">
        <v>434.58</v>
      </c>
      <c r="I664" s="19">
        <f>SUM(F664:H664)</f>
        <v>1378.1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12677.69</v>
      </c>
      <c r="G666" s="19">
        <f>ROUND(G663/G664,2)</f>
        <v>13934.96</v>
      </c>
      <c r="H666" s="19">
        <f>ROUND(H663/H664,2)</f>
        <v>14066.61</v>
      </c>
      <c r="I666" s="19">
        <f>ROUND(I663/I664,2)</f>
        <v>13512.83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-20.079999999999998</v>
      </c>
      <c r="I669" s="19">
        <f>SUM(F669:H669)</f>
        <v>-20.079999999999998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12677.69</v>
      </c>
      <c r="G671" s="19">
        <f>ROUND((G663+G668)/(G664+G669),2)</f>
        <v>13934.96</v>
      </c>
      <c r="H671" s="19">
        <f>ROUND((H663+H668)/(H664+H669),2)</f>
        <v>14748.05</v>
      </c>
      <c r="I671" s="19">
        <f>ROUND((I663+I668)/(I664+I669),2)</f>
        <v>13712.64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>&amp;CDOE 25 for 2012-2013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13" sqref="C13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RAYMOND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5172031.4499999993</v>
      </c>
      <c r="C9" s="229">
        <f>'DOE25'!G196+'DOE25'!G214+'DOE25'!G232+'DOE25'!G275+'DOE25'!G294+'DOE25'!G313</f>
        <v>2691757.84</v>
      </c>
    </row>
    <row r="10" spans="1:3" x14ac:dyDescent="0.2">
      <c r="A10" t="s">
        <v>779</v>
      </c>
      <c r="B10" s="240">
        <v>4752147.37</v>
      </c>
      <c r="C10" s="240">
        <v>2507832.27</v>
      </c>
    </row>
    <row r="11" spans="1:3" x14ac:dyDescent="0.2">
      <c r="A11" t="s">
        <v>780</v>
      </c>
      <c r="B11" s="240">
        <v>187671.98</v>
      </c>
      <c r="C11" s="240">
        <v>101383.58</v>
      </c>
    </row>
    <row r="12" spans="1:3" x14ac:dyDescent="0.2">
      <c r="A12" t="s">
        <v>781</v>
      </c>
      <c r="B12" s="240">
        <v>232212.1</v>
      </c>
      <c r="C12" s="240">
        <v>82541.990000000005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5172031.45</v>
      </c>
      <c r="C13" s="231">
        <f>SUM(C10:C12)</f>
        <v>2691757.8400000003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1997340.4000000001</v>
      </c>
      <c r="C18" s="229">
        <f>'DOE25'!G197+'DOE25'!G215+'DOE25'!G233+'DOE25'!G276+'DOE25'!G295+'DOE25'!G314</f>
        <v>1194820.92</v>
      </c>
    </row>
    <row r="19" spans="1:3" x14ac:dyDescent="0.2">
      <c r="A19" t="s">
        <v>779</v>
      </c>
      <c r="B19" s="240">
        <v>1279349.69</v>
      </c>
      <c r="C19" s="240">
        <v>636812.73</v>
      </c>
    </row>
    <row r="20" spans="1:3" x14ac:dyDescent="0.2">
      <c r="A20" t="s">
        <v>780</v>
      </c>
      <c r="B20" s="240">
        <v>713008.21</v>
      </c>
      <c r="C20" s="240">
        <v>557627.11</v>
      </c>
    </row>
    <row r="21" spans="1:3" x14ac:dyDescent="0.2">
      <c r="A21" t="s">
        <v>781</v>
      </c>
      <c r="B21" s="240">
        <v>4982.5</v>
      </c>
      <c r="C21" s="240">
        <v>381.08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1997340.4</v>
      </c>
      <c r="C22" s="231">
        <f>SUM(C19:C21)</f>
        <v>1194820.92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141378.5</v>
      </c>
      <c r="C36" s="235">
        <f>'DOE25'!G199+'DOE25'!G217+'DOE25'!G235+'DOE25'!G278+'DOE25'!G297+'DOE25'!G316</f>
        <v>19332.919999999998</v>
      </c>
    </row>
    <row r="37" spans="1:3" x14ac:dyDescent="0.2">
      <c r="A37" t="s">
        <v>779</v>
      </c>
      <c r="B37" s="240">
        <v>75368</v>
      </c>
      <c r="C37" s="240">
        <v>14411.71</v>
      </c>
    </row>
    <row r="38" spans="1:3" x14ac:dyDescent="0.2">
      <c r="A38" t="s">
        <v>780</v>
      </c>
      <c r="B38" s="240">
        <v>12709</v>
      </c>
      <c r="C38" s="240">
        <v>843.71</v>
      </c>
    </row>
    <row r="39" spans="1:3" x14ac:dyDescent="0.2">
      <c r="A39" t="s">
        <v>781</v>
      </c>
      <c r="B39" s="240">
        <v>53301.5</v>
      </c>
      <c r="C39" s="240">
        <v>4077.5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141378.5</v>
      </c>
      <c r="C40" s="231">
        <f>SUM(C37:C39)</f>
        <v>19332.919999999998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F12" sqref="F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RAYMOND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12301795.270000001</v>
      </c>
      <c r="D5" s="20">
        <f>SUM('DOE25'!L196:L199)+SUM('DOE25'!L214:L217)+SUM('DOE25'!L232:L235)-F5-G5</f>
        <v>12228157.100000001</v>
      </c>
      <c r="E5" s="243"/>
      <c r="F5" s="255">
        <f>SUM('DOE25'!J196:J199)+SUM('DOE25'!J214:J217)+SUM('DOE25'!J232:J235)</f>
        <v>44619.840000000004</v>
      </c>
      <c r="G5" s="53">
        <f>SUM('DOE25'!K196:K199)+SUM('DOE25'!K214:K217)+SUM('DOE25'!K232:K235)</f>
        <v>29018.329999999998</v>
      </c>
      <c r="H5" s="259"/>
    </row>
    <row r="6" spans="1:9" x14ac:dyDescent="0.2">
      <c r="A6" s="32">
        <v>2100</v>
      </c>
      <c r="B6" t="s">
        <v>801</v>
      </c>
      <c r="C6" s="245">
        <f t="shared" si="0"/>
        <v>1381033.8099999998</v>
      </c>
      <c r="D6" s="20">
        <f>'DOE25'!L201+'DOE25'!L219+'DOE25'!L237-F6-G6</f>
        <v>1381033.8099999998</v>
      </c>
      <c r="E6" s="243"/>
      <c r="F6" s="255">
        <f>'DOE25'!J201+'DOE25'!J219+'DOE25'!J237</f>
        <v>0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705491.57</v>
      </c>
      <c r="D7" s="20">
        <f>'DOE25'!L202+'DOE25'!L220+'DOE25'!L238-F7-G7</f>
        <v>645754.87</v>
      </c>
      <c r="E7" s="243"/>
      <c r="F7" s="255">
        <f>'DOE25'!J202+'DOE25'!J220+'DOE25'!J238</f>
        <v>59736.7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495567.72000000009</v>
      </c>
      <c r="D8" s="243"/>
      <c r="E8" s="20">
        <f>'DOE25'!L203+'DOE25'!L221+'DOE25'!L239-F8-G8-D9-D11</f>
        <v>473005.63000000006</v>
      </c>
      <c r="F8" s="255">
        <f>'DOE25'!J203+'DOE25'!J221+'DOE25'!J239</f>
        <v>0</v>
      </c>
      <c r="G8" s="53">
        <f>'DOE25'!K203+'DOE25'!K221+'DOE25'!K239</f>
        <v>22562.09</v>
      </c>
      <c r="H8" s="259"/>
    </row>
    <row r="9" spans="1:9" x14ac:dyDescent="0.2">
      <c r="A9" s="32">
        <v>2310</v>
      </c>
      <c r="B9" t="s">
        <v>818</v>
      </c>
      <c r="C9" s="245">
        <f t="shared" si="0"/>
        <v>97970.04</v>
      </c>
      <c r="D9" s="244">
        <v>97970.04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18125.5</v>
      </c>
      <c r="D10" s="243"/>
      <c r="E10" s="244">
        <v>18125.5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362661.33</v>
      </c>
      <c r="D11" s="244">
        <v>362661.33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1144277.31</v>
      </c>
      <c r="D12" s="20">
        <f>'DOE25'!L204+'DOE25'!L222+'DOE25'!L240-F12-G12</f>
        <v>1136207.31</v>
      </c>
      <c r="E12" s="243"/>
      <c r="F12" s="255">
        <f>'DOE25'!J204+'DOE25'!J222+'DOE25'!J240</f>
        <v>715</v>
      </c>
      <c r="G12" s="53">
        <f>'DOE25'!K204+'DOE25'!K222+'DOE25'!K240</f>
        <v>7355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222891.33999999997</v>
      </c>
      <c r="D13" s="243"/>
      <c r="E13" s="20">
        <f>'DOE25'!L205+'DOE25'!L223+'DOE25'!L241-F13-G13</f>
        <v>220980.91999999995</v>
      </c>
      <c r="F13" s="255">
        <f>'DOE25'!J205+'DOE25'!J223+'DOE25'!J241</f>
        <v>0</v>
      </c>
      <c r="G13" s="53">
        <f>'DOE25'!K205+'DOE25'!K223+'DOE25'!K241</f>
        <v>1910.42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1659019.96</v>
      </c>
      <c r="D14" s="20">
        <f>'DOE25'!L206+'DOE25'!L224+'DOE25'!L242-F14-G14</f>
        <v>1652878.6099999999</v>
      </c>
      <c r="E14" s="243"/>
      <c r="F14" s="255">
        <f>'DOE25'!J206+'DOE25'!J224+'DOE25'!J242</f>
        <v>6141.35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841155.75</v>
      </c>
      <c r="D15" s="20">
        <f>'DOE25'!L207+'DOE25'!L225+'DOE25'!L243-F15-G15</f>
        <v>841155.75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2247.25</v>
      </c>
      <c r="D16" s="243"/>
      <c r="E16" s="20">
        <f>'DOE25'!L208+'DOE25'!L226+'DOE25'!L244-F16-G16</f>
        <v>2247.25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19491.86</v>
      </c>
      <c r="D19" s="20">
        <f>'DOE25'!L252-F19-G19</f>
        <v>19491.86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1038377.09</v>
      </c>
      <c r="D25" s="243"/>
      <c r="E25" s="243"/>
      <c r="F25" s="258"/>
      <c r="G25" s="256"/>
      <c r="H25" s="257">
        <f>'DOE25'!L259+'DOE25'!L260+'DOE25'!L340+'DOE25'!L341</f>
        <v>1038377.09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348634.79999999993</v>
      </c>
      <c r="D29" s="20">
        <f>'DOE25'!L357+'DOE25'!L358+'DOE25'!L359-'DOE25'!I366-F29-G29</f>
        <v>346616.61999999994</v>
      </c>
      <c r="E29" s="243"/>
      <c r="F29" s="255">
        <f>'DOE25'!J357+'DOE25'!J358+'DOE25'!J359</f>
        <v>1002.9300000000001</v>
      </c>
      <c r="G29" s="53">
        <f>'DOE25'!K357+'DOE25'!K358+'DOE25'!K359</f>
        <v>1015.25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1127582.77</v>
      </c>
      <c r="D31" s="20">
        <f>'DOE25'!L289+'DOE25'!L308+'DOE25'!L327+'DOE25'!L332+'DOE25'!L333+'DOE25'!L334-F31-G31</f>
        <v>1056037.33</v>
      </c>
      <c r="E31" s="243"/>
      <c r="F31" s="255">
        <f>'DOE25'!J289+'DOE25'!J308+'DOE25'!J327+'DOE25'!J332+'DOE25'!J333+'DOE25'!J334</f>
        <v>71545.440000000002</v>
      </c>
      <c r="G31" s="53">
        <f>'DOE25'!K289+'DOE25'!K308+'DOE25'!K327+'DOE25'!K332+'DOE25'!K333+'DOE25'!K334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19767964.630000003</v>
      </c>
      <c r="E33" s="246">
        <f>SUM(E5:E31)</f>
        <v>714359.3</v>
      </c>
      <c r="F33" s="246">
        <f>SUM(F5:F31)</f>
        <v>183761.26</v>
      </c>
      <c r="G33" s="246">
        <f>SUM(G5:G31)</f>
        <v>61861.09</v>
      </c>
      <c r="H33" s="246">
        <f>SUM(H5:H31)</f>
        <v>1038377.09</v>
      </c>
    </row>
    <row r="35" spans="2:8" ht="12" thickBot="1" x14ac:dyDescent="0.25">
      <c r="B35" s="253" t="s">
        <v>847</v>
      </c>
      <c r="D35" s="254">
        <f>E33</f>
        <v>714359.3</v>
      </c>
      <c r="E35" s="249"/>
    </row>
    <row r="36" spans="2:8" ht="12" thickTop="1" x14ac:dyDescent="0.2">
      <c r="B36" t="s">
        <v>815</v>
      </c>
      <c r="D36" s="20">
        <f>D33</f>
        <v>19767964.630000003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RAYMOND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783975.4</v>
      </c>
      <c r="D8" s="95">
        <f>'DOE25'!G9</f>
        <v>100</v>
      </c>
      <c r="E8" s="95">
        <f>'DOE25'!H9</f>
        <v>0</v>
      </c>
      <c r="F8" s="95">
        <f>'DOE25'!I9</f>
        <v>0</v>
      </c>
      <c r="G8" s="95">
        <f>'DOE25'!J9</f>
        <v>720176.12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9357.42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128870.65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38638.629999999997</v>
      </c>
      <c r="E12" s="95">
        <f>'DOE25'!H13</f>
        <v>143786.87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30587.16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952790.63000000012</v>
      </c>
      <c r="D18" s="41">
        <f>SUM(D8:D17)</f>
        <v>38738.629999999997</v>
      </c>
      <c r="E18" s="41">
        <f>SUM(E8:E17)</f>
        <v>143786.87</v>
      </c>
      <c r="F18" s="41">
        <f>SUM(F8:F17)</f>
        <v>0</v>
      </c>
      <c r="G18" s="41">
        <f>SUM(G8:G17)</f>
        <v>720176.12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31087.45</v>
      </c>
      <c r="E21" s="95">
        <f>'DOE25'!H22</f>
        <v>97783.2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491212.83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81262.89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125849.31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7651.18</v>
      </c>
      <c r="E29" s="95">
        <f>'DOE25'!H30</f>
        <v>46003.67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698325.03</v>
      </c>
      <c r="D31" s="41">
        <f>SUM(D21:D30)</f>
        <v>38738.630000000005</v>
      </c>
      <c r="E31" s="41">
        <f>SUM(E21:E30)</f>
        <v>143786.87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 t="str">
        <f>'DOE25'!F45</f>
        <v xml:space="preserve"> 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25000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720176.12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6877.55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222588.05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254465.59999999998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720176.12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952790.63</v>
      </c>
      <c r="D50" s="41">
        <f>D49+D31</f>
        <v>38738.630000000005</v>
      </c>
      <c r="E50" s="41">
        <f>E49+E31</f>
        <v>143786.87</v>
      </c>
      <c r="F50" s="41">
        <f>F49+F31</f>
        <v>0</v>
      </c>
      <c r="G50" s="41">
        <f>G49+G31</f>
        <v>720176.12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11386900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137376.72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357.21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5307.09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272006.07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3454.23</v>
      </c>
      <c r="D60" s="95">
        <f>SUM('DOE25'!G97:G109)</f>
        <v>18228.22</v>
      </c>
      <c r="E60" s="95">
        <f>SUM('DOE25'!H97:H109)</f>
        <v>61244.340000000004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141188.16</v>
      </c>
      <c r="D61" s="130">
        <f>SUM(D56:D60)</f>
        <v>290234.29000000004</v>
      </c>
      <c r="E61" s="130">
        <f>SUM(E56:E60)</f>
        <v>61244.340000000004</v>
      </c>
      <c r="F61" s="130">
        <f>SUM(F56:F60)</f>
        <v>0</v>
      </c>
      <c r="G61" s="130">
        <f>SUM(G56:G60)</f>
        <v>5307.09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11528088.16</v>
      </c>
      <c r="D62" s="22">
        <f>D55+D61</f>
        <v>290234.29000000004</v>
      </c>
      <c r="E62" s="22">
        <f>E55+E61</f>
        <v>61244.340000000004</v>
      </c>
      <c r="F62" s="22">
        <f>F55+F61</f>
        <v>0</v>
      </c>
      <c r="G62" s="22">
        <f>G55+G61</f>
        <v>5307.09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5675141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2085381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7760522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448005.71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301086.86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17889.8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9762.56</v>
      </c>
      <c r="D76" s="95">
        <f>SUM('DOE25'!G130:G134)</f>
        <v>5650.87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776744.93000000017</v>
      </c>
      <c r="D77" s="130">
        <f>SUM(D71:D76)</f>
        <v>5650.87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8537266.9299999997</v>
      </c>
      <c r="D80" s="130">
        <f>SUM(D78:D79)+D77+D69</f>
        <v>5650.87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242036.09</v>
      </c>
      <c r="D87" s="95">
        <f>SUM('DOE25'!G152:G160)</f>
        <v>221645.31</v>
      </c>
      <c r="E87" s="95">
        <f>SUM('DOE25'!H152:H160)</f>
        <v>1105476.2299999997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242036.09</v>
      </c>
      <c r="D90" s="131">
        <f>SUM(D84:D89)</f>
        <v>221645.31</v>
      </c>
      <c r="E90" s="131">
        <f>SUM(E84:E89)</f>
        <v>1105476.2299999997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28761.23</v>
      </c>
      <c r="E95" s="95">
        <f>'DOE25'!H178</f>
        <v>0</v>
      </c>
      <c r="F95" s="95">
        <f>'DOE25'!I178</f>
        <v>0</v>
      </c>
      <c r="G95" s="95">
        <f>'DOE25'!J178</f>
        <v>195000</v>
      </c>
    </row>
    <row r="96" spans="1:9" x14ac:dyDescent="0.2">
      <c r="A96" t="s">
        <v>758</v>
      </c>
      <c r="B96" s="32" t="s">
        <v>188</v>
      </c>
      <c r="C96" s="95">
        <f>SUM('DOE25'!F179:F180)</f>
        <v>39137.800000000003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39137.800000000003</v>
      </c>
      <c r="D102" s="86">
        <f>SUM(D92:D101)</f>
        <v>28761.23</v>
      </c>
      <c r="E102" s="86">
        <f>SUM(E92:E101)</f>
        <v>0</v>
      </c>
      <c r="F102" s="86">
        <f>SUM(F92:F101)</f>
        <v>0</v>
      </c>
      <c r="G102" s="86">
        <f>SUM(G92:G101)</f>
        <v>195000</v>
      </c>
    </row>
    <row r="103" spans="1:7" ht="12.75" thickTop="1" thickBot="1" x14ac:dyDescent="0.25">
      <c r="A103" s="33" t="s">
        <v>765</v>
      </c>
      <c r="C103" s="86">
        <f>C62+C80+C90+C102</f>
        <v>20346528.98</v>
      </c>
      <c r="D103" s="86">
        <f>D62+D80+D90+D102</f>
        <v>546291.70000000007</v>
      </c>
      <c r="E103" s="86">
        <f>E62+E80+E90+E102</f>
        <v>1166720.5699999998</v>
      </c>
      <c r="F103" s="86">
        <f>F62+F80+F90+F102</f>
        <v>0</v>
      </c>
      <c r="G103" s="86">
        <f>G62+G80+G102</f>
        <v>200307.09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7975207.6400000006</v>
      </c>
      <c r="D108" s="24" t="s">
        <v>289</v>
      </c>
      <c r="E108" s="95">
        <f>('DOE25'!L275)+('DOE25'!L294)+('DOE25'!L313)</f>
        <v>310685.08999999997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3954167.03</v>
      </c>
      <c r="D109" s="24" t="s">
        <v>289</v>
      </c>
      <c r="E109" s="95">
        <f>('DOE25'!L276)+('DOE25'!L295)+('DOE25'!L314)</f>
        <v>360651.81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155257.5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217163.09999999998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19491.86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12321287.129999999</v>
      </c>
      <c r="D114" s="86">
        <f>SUM(D108:D113)</f>
        <v>0</v>
      </c>
      <c r="E114" s="86">
        <f>SUM(E108:E113)</f>
        <v>671336.89999999991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1381033.8099999998</v>
      </c>
      <c r="D117" s="24" t="s">
        <v>289</v>
      </c>
      <c r="E117" s="95">
        <f>+('DOE25'!L280)+('DOE25'!L299)+('DOE25'!L318)</f>
        <v>17620.25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705491.57</v>
      </c>
      <c r="D118" s="24" t="s">
        <v>289</v>
      </c>
      <c r="E118" s="95">
        <f>+('DOE25'!L281)+('DOE25'!L300)+('DOE25'!L319)</f>
        <v>419509.80999999994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956199.09000000008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1144277.31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222891.33999999997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1659019.96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841155.75</v>
      </c>
      <c r="D123" s="24" t="s">
        <v>289</v>
      </c>
      <c r="E123" s="95">
        <f>+('DOE25'!L286)+('DOE25'!L305)+('DOE25'!L324)</f>
        <v>19115.810000000001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2247.25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546291.69999999995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6912316.0800000001</v>
      </c>
      <c r="D127" s="86">
        <f>SUM(D117:D126)</f>
        <v>546291.69999999995</v>
      </c>
      <c r="E127" s="86">
        <f>SUM(E117:E126)</f>
        <v>456245.86999999994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764623.95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273753.14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39137.800000000003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28761.23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199696.05000000002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611.04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-5307.0900000000256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1262138.32</v>
      </c>
      <c r="D143" s="141">
        <f>SUM(D129:D142)</f>
        <v>0</v>
      </c>
      <c r="E143" s="141">
        <f>SUM(E129:E142)</f>
        <v>39137.800000000003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20495741.530000001</v>
      </c>
      <c r="D144" s="86">
        <f>(D114+D127+D143)</f>
        <v>546291.69999999995</v>
      </c>
      <c r="E144" s="86">
        <f>(E114+E127+E143)</f>
        <v>1166720.5699999998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10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8/05</v>
      </c>
      <c r="C151" s="152" t="str">
        <f>'DOE25'!G490</f>
        <v>10/03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8/25</v>
      </c>
      <c r="C152" s="152" t="str">
        <f>'DOE25'!G491</f>
        <v>10/13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13402490</v>
      </c>
      <c r="C153" s="137">
        <f>'DOE25'!G492</f>
        <v>246250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4.13</v>
      </c>
      <c r="C154" s="137">
        <f>'DOE25'!G493</f>
        <v>44.3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7861268.1200000001</v>
      </c>
      <c r="C155" s="137">
        <f>'DOE25'!G494</f>
        <v>49250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7910518.1200000001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739998.95</v>
      </c>
      <c r="C157" s="137">
        <f>'DOE25'!G496</f>
        <v>24625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764623.95</v>
      </c>
    </row>
    <row r="158" spans="1:9" x14ac:dyDescent="0.2">
      <c r="A158" s="22" t="s">
        <v>35</v>
      </c>
      <c r="B158" s="137">
        <f>'DOE25'!F497</f>
        <v>7121269.1699999999</v>
      </c>
      <c r="C158" s="137">
        <f>'DOE25'!G497</f>
        <v>24625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7145894.1699999999</v>
      </c>
    </row>
    <row r="159" spans="1:9" x14ac:dyDescent="0.2">
      <c r="A159" s="22" t="s">
        <v>36</v>
      </c>
      <c r="B159" s="137">
        <f>'DOE25'!F498</f>
        <v>5665610.8300000001</v>
      </c>
      <c r="C159" s="137">
        <f>'DOE25'!G498</f>
        <v>1058.8800000000001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5666669.71</v>
      </c>
    </row>
    <row r="160" spans="1:9" x14ac:dyDescent="0.2">
      <c r="A160" s="22" t="s">
        <v>37</v>
      </c>
      <c r="B160" s="137">
        <f>'DOE25'!F499</f>
        <v>12786880</v>
      </c>
      <c r="C160" s="137">
        <f>'DOE25'!G499</f>
        <v>25683.88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12812563.880000001</v>
      </c>
    </row>
    <row r="161" spans="1:7" x14ac:dyDescent="0.2">
      <c r="A161" s="22" t="s">
        <v>38</v>
      </c>
      <c r="B161" s="137">
        <f>'DOE25'!F500</f>
        <v>705829.76</v>
      </c>
      <c r="C161" s="137">
        <f>'DOE25'!G500</f>
        <v>24625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730454.76</v>
      </c>
    </row>
    <row r="162" spans="1:7" x14ac:dyDescent="0.2">
      <c r="A162" s="22" t="s">
        <v>39</v>
      </c>
      <c r="B162" s="137">
        <f>'DOE25'!F501</f>
        <v>302908.24</v>
      </c>
      <c r="C162" s="137">
        <f>'DOE25'!G501</f>
        <v>1058.8800000000001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303967.12</v>
      </c>
    </row>
    <row r="163" spans="1:7" x14ac:dyDescent="0.2">
      <c r="A163" s="22" t="s">
        <v>246</v>
      </c>
      <c r="B163" s="137">
        <f>'DOE25'!F502</f>
        <v>1008738</v>
      </c>
      <c r="C163" s="137">
        <f>'DOE25'!G502</f>
        <v>25683.88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1034421.88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RAYMOND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12678</v>
      </c>
    </row>
    <row r="5" spans="1:4" x14ac:dyDescent="0.2">
      <c r="B5" t="s">
        <v>704</v>
      </c>
      <c r="C5" s="179">
        <f>IF('DOE25'!G664+'DOE25'!G669=0,0,ROUND('DOE25'!G671,0))</f>
        <v>13935</v>
      </c>
    </row>
    <row r="6" spans="1:4" x14ac:dyDescent="0.2">
      <c r="B6" t="s">
        <v>62</v>
      </c>
      <c r="C6" s="179">
        <f>IF('DOE25'!H664+'DOE25'!H669=0,0,ROUND('DOE25'!H671,0))</f>
        <v>14748</v>
      </c>
    </row>
    <row r="7" spans="1:4" x14ac:dyDescent="0.2">
      <c r="B7" t="s">
        <v>705</v>
      </c>
      <c r="C7" s="179">
        <f>IF('DOE25'!I664+'DOE25'!I669=0,0,ROUND('DOE25'!I671,0))</f>
        <v>13713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8285893</v>
      </c>
      <c r="D10" s="182">
        <f>ROUND((C10/$C$28)*100,1)</f>
        <v>39.700000000000003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4314819</v>
      </c>
      <c r="D11" s="182">
        <f>ROUND((C11/$C$28)*100,1)</f>
        <v>20.7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155258</v>
      </c>
      <c r="D12" s="182">
        <f>ROUND((C12/$C$28)*100,1)</f>
        <v>0.7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217163</v>
      </c>
      <c r="D13" s="182">
        <f>ROUND((C13/$C$28)*100,1)</f>
        <v>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1398654</v>
      </c>
      <c r="D15" s="182">
        <f t="shared" ref="D15:D27" si="0">ROUND((C15/$C$28)*100,1)</f>
        <v>6.7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1125001</v>
      </c>
      <c r="D16" s="182">
        <f t="shared" si="0"/>
        <v>5.4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958446</v>
      </c>
      <c r="D17" s="182">
        <f t="shared" si="0"/>
        <v>4.5999999999999996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1144277</v>
      </c>
      <c r="D18" s="182">
        <f t="shared" si="0"/>
        <v>5.5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222891</v>
      </c>
      <c r="D19" s="182">
        <f t="shared" si="0"/>
        <v>1.1000000000000001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1659020</v>
      </c>
      <c r="D20" s="182">
        <f t="shared" si="0"/>
        <v>7.9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860272</v>
      </c>
      <c r="D21" s="182">
        <f t="shared" si="0"/>
        <v>4.0999999999999996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19492</v>
      </c>
      <c r="D24" s="182">
        <f t="shared" si="0"/>
        <v>0.1</v>
      </c>
    </row>
    <row r="25" spans="1:4" x14ac:dyDescent="0.2">
      <c r="A25">
        <v>5120</v>
      </c>
      <c r="B25" t="s">
        <v>720</v>
      </c>
      <c r="C25" s="179">
        <f>ROUND('DOE25'!L260+'DOE25'!L341,0)</f>
        <v>273753</v>
      </c>
      <c r="D25" s="182">
        <f t="shared" si="0"/>
        <v>1.3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256057.70999999996</v>
      </c>
      <c r="D27" s="182">
        <f t="shared" si="0"/>
        <v>1.2</v>
      </c>
    </row>
    <row r="28" spans="1:4" x14ac:dyDescent="0.2">
      <c r="B28" s="187" t="s">
        <v>723</v>
      </c>
      <c r="C28" s="180">
        <f>SUM(C10:C27)</f>
        <v>20890996.710000001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20890996.710000001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764624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11386900</v>
      </c>
      <c r="D35" s="182">
        <f t="shared" ref="D35:D40" si="1">ROUND((C35/$C$41)*100,1)</f>
        <v>52.5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207739.58999999985</v>
      </c>
      <c r="D36" s="182">
        <f t="shared" si="1"/>
        <v>1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7760522</v>
      </c>
      <c r="D37" s="182">
        <f t="shared" si="1"/>
        <v>35.799999999999997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782396</v>
      </c>
      <c r="D38" s="182">
        <f t="shared" si="1"/>
        <v>3.6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1569158</v>
      </c>
      <c r="D39" s="182">
        <f t="shared" si="1"/>
        <v>7.2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21706715.59</v>
      </c>
      <c r="D41" s="184">
        <f>SUM(D35:D40)</f>
        <v>100.1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20" sqref="A20:M20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770</v>
      </c>
      <c r="B1" s="290"/>
      <c r="C1" s="290"/>
      <c r="D1" s="290"/>
      <c r="E1" s="290"/>
      <c r="F1" s="290"/>
      <c r="G1" s="290"/>
      <c r="H1" s="290"/>
      <c r="I1" s="290"/>
      <c r="J1" s="213"/>
      <c r="K1" s="213"/>
      <c r="L1" s="213"/>
      <c r="M1" s="214"/>
    </row>
    <row r="2" spans="1:26" ht="12.75" x14ac:dyDescent="0.2">
      <c r="A2" s="295" t="s">
        <v>767</v>
      </c>
      <c r="B2" s="296"/>
      <c r="C2" s="296"/>
      <c r="D2" s="296"/>
      <c r="E2" s="296"/>
      <c r="F2" s="293" t="str">
        <f>'DOE25'!A2</f>
        <v>RAYMOND SCHOOL DISTRICT</v>
      </c>
      <c r="G2" s="294"/>
      <c r="H2" s="294"/>
      <c r="I2" s="294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1" t="s">
        <v>771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>
        <v>1</v>
      </c>
      <c r="B5" s="219">
        <v>32</v>
      </c>
      <c r="C5" s="284" t="s">
        <v>921</v>
      </c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 t="s">
        <v>922</v>
      </c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 t="s">
        <v>287</v>
      </c>
      <c r="B7" s="219" t="s">
        <v>287</v>
      </c>
      <c r="C7" s="284" t="s">
        <v>287</v>
      </c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>
        <v>2</v>
      </c>
      <c r="B8" s="219">
        <v>3</v>
      </c>
      <c r="C8" s="284" t="s">
        <v>914</v>
      </c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72"/>
      <c r="D9" s="272"/>
      <c r="E9" s="272"/>
      <c r="F9" s="272"/>
      <c r="G9" s="272"/>
      <c r="H9" s="272"/>
      <c r="I9" s="272"/>
      <c r="J9" s="272"/>
      <c r="K9" s="272"/>
      <c r="L9" s="272"/>
      <c r="M9" s="27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>
        <v>3</v>
      </c>
      <c r="B10" s="219">
        <v>24</v>
      </c>
      <c r="C10" s="272" t="s">
        <v>915</v>
      </c>
      <c r="D10" s="272"/>
      <c r="E10" s="272"/>
      <c r="F10" s="272"/>
      <c r="G10" s="272"/>
      <c r="H10" s="272"/>
      <c r="I10" s="272"/>
      <c r="J10" s="272"/>
      <c r="K10" s="272"/>
      <c r="L10" s="272"/>
      <c r="M10" s="27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72" t="s">
        <v>916</v>
      </c>
      <c r="D11" s="272"/>
      <c r="E11" s="272"/>
      <c r="F11" s="272"/>
      <c r="G11" s="272"/>
      <c r="H11" s="272"/>
      <c r="I11" s="272"/>
      <c r="J11" s="272"/>
      <c r="K11" s="272"/>
      <c r="L11" s="272"/>
      <c r="M11" s="27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72"/>
      <c r="D12" s="272"/>
      <c r="E12" s="272"/>
      <c r="F12" s="272"/>
      <c r="G12" s="272"/>
      <c r="H12" s="272"/>
      <c r="I12" s="272"/>
      <c r="J12" s="272"/>
      <c r="K12" s="272"/>
      <c r="L12" s="272"/>
      <c r="M12" s="27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>
        <v>4</v>
      </c>
      <c r="B13" s="219">
        <v>18</v>
      </c>
      <c r="C13" s="272" t="s">
        <v>917</v>
      </c>
      <c r="D13" s="272"/>
      <c r="E13" s="272"/>
      <c r="F13" s="272"/>
      <c r="G13" s="272"/>
      <c r="H13" s="272"/>
      <c r="I13" s="272"/>
      <c r="J13" s="272"/>
      <c r="K13" s="272"/>
      <c r="L13" s="272"/>
      <c r="M13" s="27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72"/>
      <c r="D14" s="272"/>
      <c r="E14" s="272"/>
      <c r="F14" s="272"/>
      <c r="G14" s="272"/>
      <c r="H14" s="272"/>
      <c r="I14" s="272"/>
      <c r="J14" s="272"/>
      <c r="K14" s="272"/>
      <c r="L14" s="272"/>
      <c r="M14" s="27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>
        <v>6</v>
      </c>
      <c r="B15" s="219">
        <v>8</v>
      </c>
      <c r="C15" s="272" t="s">
        <v>918</v>
      </c>
      <c r="D15" s="272"/>
      <c r="E15" s="272"/>
      <c r="F15" s="272"/>
      <c r="G15" s="272"/>
      <c r="H15" s="272"/>
      <c r="I15" s="272"/>
      <c r="J15" s="272"/>
      <c r="K15" s="272"/>
      <c r="L15" s="272"/>
      <c r="M15" s="27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72"/>
      <c r="D16" s="272"/>
      <c r="E16" s="272"/>
      <c r="F16" s="272"/>
      <c r="G16" s="272"/>
      <c r="H16" s="272"/>
      <c r="I16" s="272"/>
      <c r="J16" s="272"/>
      <c r="K16" s="272"/>
      <c r="L16" s="272"/>
      <c r="M16" s="27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>
        <v>14</v>
      </c>
      <c r="B17" s="219">
        <v>10</v>
      </c>
      <c r="C17" s="272" t="s">
        <v>919</v>
      </c>
      <c r="D17" s="272"/>
      <c r="E17" s="272"/>
      <c r="F17" s="272"/>
      <c r="G17" s="272"/>
      <c r="H17" s="272"/>
      <c r="I17" s="272"/>
      <c r="J17" s="272"/>
      <c r="K17" s="272"/>
      <c r="L17" s="272"/>
      <c r="M17" s="27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>
        <v>2</v>
      </c>
      <c r="B20" s="219">
        <v>5</v>
      </c>
      <c r="C20" s="284" t="s">
        <v>923</v>
      </c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 t="s">
        <v>924</v>
      </c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 t="s">
        <v>925</v>
      </c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 t="s">
        <v>926</v>
      </c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7"/>
      <c r="Q29" s="297"/>
      <c r="R29" s="297"/>
      <c r="S29" s="297"/>
      <c r="T29" s="297"/>
      <c r="U29" s="297"/>
      <c r="V29" s="297"/>
      <c r="W29" s="297"/>
      <c r="X29" s="297"/>
      <c r="Y29" s="297"/>
      <c r="Z29" s="297"/>
      <c r="AA29" s="207"/>
      <c r="AB29" s="207"/>
      <c r="AC29" s="298"/>
      <c r="AD29" s="298"/>
      <c r="AE29" s="298"/>
      <c r="AF29" s="298"/>
      <c r="AG29" s="298"/>
      <c r="AH29" s="298"/>
      <c r="AI29" s="298"/>
      <c r="AJ29" s="298"/>
      <c r="AK29" s="298"/>
      <c r="AL29" s="298"/>
      <c r="AM29" s="298"/>
      <c r="AN29" s="207"/>
      <c r="AO29" s="207"/>
      <c r="AP29" s="298"/>
      <c r="AQ29" s="298"/>
      <c r="AR29" s="298"/>
      <c r="AS29" s="298"/>
      <c r="AT29" s="298"/>
      <c r="AU29" s="298"/>
      <c r="AV29" s="298"/>
      <c r="AW29" s="298"/>
      <c r="AX29" s="298"/>
      <c r="AY29" s="298"/>
      <c r="AZ29" s="298"/>
      <c r="BA29" s="207"/>
      <c r="BB29" s="207"/>
      <c r="BC29" s="298"/>
      <c r="BD29" s="298"/>
      <c r="BE29" s="298"/>
      <c r="BF29" s="298"/>
      <c r="BG29" s="298"/>
      <c r="BH29" s="298"/>
      <c r="BI29" s="298"/>
      <c r="BJ29" s="298"/>
      <c r="BK29" s="298"/>
      <c r="BL29" s="298"/>
      <c r="BM29" s="298"/>
      <c r="BN29" s="207"/>
      <c r="BO29" s="207"/>
      <c r="BP29" s="298"/>
      <c r="BQ29" s="298"/>
      <c r="BR29" s="298"/>
      <c r="BS29" s="298"/>
      <c r="BT29" s="298"/>
      <c r="BU29" s="298"/>
      <c r="BV29" s="298"/>
      <c r="BW29" s="298"/>
      <c r="BX29" s="298"/>
      <c r="BY29" s="298"/>
      <c r="BZ29" s="298"/>
      <c r="CA29" s="207"/>
      <c r="CB29" s="207"/>
      <c r="CC29" s="298"/>
      <c r="CD29" s="298"/>
      <c r="CE29" s="298"/>
      <c r="CF29" s="298"/>
      <c r="CG29" s="298"/>
      <c r="CH29" s="298"/>
      <c r="CI29" s="298"/>
      <c r="CJ29" s="298"/>
      <c r="CK29" s="298"/>
      <c r="CL29" s="298"/>
      <c r="CM29" s="298"/>
      <c r="CN29" s="207"/>
      <c r="CO29" s="207"/>
      <c r="CP29" s="298"/>
      <c r="CQ29" s="298"/>
      <c r="CR29" s="298"/>
      <c r="CS29" s="298"/>
      <c r="CT29" s="298"/>
      <c r="CU29" s="298"/>
      <c r="CV29" s="298"/>
      <c r="CW29" s="298"/>
      <c r="CX29" s="298"/>
      <c r="CY29" s="298"/>
      <c r="CZ29" s="298"/>
      <c r="DA29" s="207"/>
      <c r="DB29" s="207"/>
      <c r="DC29" s="298"/>
      <c r="DD29" s="298"/>
      <c r="DE29" s="298"/>
      <c r="DF29" s="298"/>
      <c r="DG29" s="298"/>
      <c r="DH29" s="298"/>
      <c r="DI29" s="298"/>
      <c r="DJ29" s="298"/>
      <c r="DK29" s="298"/>
      <c r="DL29" s="298"/>
      <c r="DM29" s="298"/>
      <c r="DN29" s="207"/>
      <c r="DO29" s="207"/>
      <c r="DP29" s="298"/>
      <c r="DQ29" s="298"/>
      <c r="DR29" s="298"/>
      <c r="DS29" s="298"/>
      <c r="DT29" s="298"/>
      <c r="DU29" s="298"/>
      <c r="DV29" s="298"/>
      <c r="DW29" s="298"/>
      <c r="DX29" s="298"/>
      <c r="DY29" s="298"/>
      <c r="DZ29" s="298"/>
      <c r="EA29" s="207"/>
      <c r="EB29" s="207"/>
      <c r="EC29" s="298"/>
      <c r="ED29" s="298"/>
      <c r="EE29" s="298"/>
      <c r="EF29" s="298"/>
      <c r="EG29" s="298"/>
      <c r="EH29" s="298"/>
      <c r="EI29" s="298"/>
      <c r="EJ29" s="298"/>
      <c r="EK29" s="298"/>
      <c r="EL29" s="298"/>
      <c r="EM29" s="298"/>
      <c r="EN29" s="207"/>
      <c r="EO29" s="207"/>
      <c r="EP29" s="298"/>
      <c r="EQ29" s="298"/>
      <c r="ER29" s="298"/>
      <c r="ES29" s="298"/>
      <c r="ET29" s="298"/>
      <c r="EU29" s="298"/>
      <c r="EV29" s="298"/>
      <c r="EW29" s="298"/>
      <c r="EX29" s="298"/>
      <c r="EY29" s="298"/>
      <c r="EZ29" s="298"/>
      <c r="FA29" s="207"/>
      <c r="FB29" s="207"/>
      <c r="FC29" s="298"/>
      <c r="FD29" s="298"/>
      <c r="FE29" s="298"/>
      <c r="FF29" s="298"/>
      <c r="FG29" s="298"/>
      <c r="FH29" s="298"/>
      <c r="FI29" s="298"/>
      <c r="FJ29" s="298"/>
      <c r="FK29" s="298"/>
      <c r="FL29" s="298"/>
      <c r="FM29" s="298"/>
      <c r="FN29" s="207"/>
      <c r="FO29" s="207"/>
      <c r="FP29" s="298"/>
      <c r="FQ29" s="298"/>
      <c r="FR29" s="298"/>
      <c r="FS29" s="298"/>
      <c r="FT29" s="298"/>
      <c r="FU29" s="298"/>
      <c r="FV29" s="298"/>
      <c r="FW29" s="298"/>
      <c r="FX29" s="298"/>
      <c r="FY29" s="298"/>
      <c r="FZ29" s="298"/>
      <c r="GA29" s="207"/>
      <c r="GB29" s="207"/>
      <c r="GC29" s="298"/>
      <c r="GD29" s="298"/>
      <c r="GE29" s="298"/>
      <c r="GF29" s="298"/>
      <c r="GG29" s="298"/>
      <c r="GH29" s="298"/>
      <c r="GI29" s="298"/>
      <c r="GJ29" s="298"/>
      <c r="GK29" s="298"/>
      <c r="GL29" s="298"/>
      <c r="GM29" s="298"/>
      <c r="GN29" s="207"/>
      <c r="GO29" s="207"/>
      <c r="GP29" s="298"/>
      <c r="GQ29" s="298"/>
      <c r="GR29" s="298"/>
      <c r="GS29" s="298"/>
      <c r="GT29" s="298"/>
      <c r="GU29" s="298"/>
      <c r="GV29" s="298"/>
      <c r="GW29" s="298"/>
      <c r="GX29" s="298"/>
      <c r="GY29" s="298"/>
      <c r="GZ29" s="298"/>
      <c r="HA29" s="207"/>
      <c r="HB29" s="207"/>
      <c r="HC29" s="298"/>
      <c r="HD29" s="298"/>
      <c r="HE29" s="298"/>
      <c r="HF29" s="298"/>
      <c r="HG29" s="298"/>
      <c r="HH29" s="298"/>
      <c r="HI29" s="298"/>
      <c r="HJ29" s="298"/>
      <c r="HK29" s="298"/>
      <c r="HL29" s="298"/>
      <c r="HM29" s="298"/>
      <c r="HN29" s="207"/>
      <c r="HO29" s="207"/>
      <c r="HP29" s="298"/>
      <c r="HQ29" s="298"/>
      <c r="HR29" s="298"/>
      <c r="HS29" s="298"/>
      <c r="HT29" s="298"/>
      <c r="HU29" s="298"/>
      <c r="HV29" s="298"/>
      <c r="HW29" s="298"/>
      <c r="HX29" s="298"/>
      <c r="HY29" s="298"/>
      <c r="HZ29" s="298"/>
      <c r="IA29" s="207"/>
      <c r="IB29" s="207"/>
      <c r="IC29" s="298"/>
      <c r="ID29" s="298"/>
      <c r="IE29" s="298"/>
      <c r="IF29" s="298"/>
      <c r="IG29" s="298"/>
      <c r="IH29" s="298"/>
      <c r="II29" s="298"/>
      <c r="IJ29" s="298"/>
      <c r="IK29" s="298"/>
      <c r="IL29" s="298"/>
      <c r="IM29" s="298"/>
      <c r="IN29" s="207"/>
      <c r="IO29" s="207"/>
      <c r="IP29" s="298"/>
      <c r="IQ29" s="298"/>
      <c r="IR29" s="298"/>
      <c r="IS29" s="298"/>
      <c r="IT29" s="298"/>
      <c r="IU29" s="298"/>
      <c r="IV29" s="298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7"/>
      <c r="Q30" s="297"/>
      <c r="R30" s="297"/>
      <c r="S30" s="297"/>
      <c r="T30" s="297"/>
      <c r="U30" s="297"/>
      <c r="V30" s="297"/>
      <c r="W30" s="297"/>
      <c r="X30" s="297"/>
      <c r="Y30" s="297"/>
      <c r="Z30" s="297"/>
      <c r="AA30" s="207"/>
      <c r="AB30" s="207"/>
      <c r="AC30" s="298"/>
      <c r="AD30" s="298"/>
      <c r="AE30" s="298"/>
      <c r="AF30" s="298"/>
      <c r="AG30" s="298"/>
      <c r="AH30" s="298"/>
      <c r="AI30" s="298"/>
      <c r="AJ30" s="298"/>
      <c r="AK30" s="298"/>
      <c r="AL30" s="298"/>
      <c r="AM30" s="298"/>
      <c r="AN30" s="207"/>
      <c r="AO30" s="207"/>
      <c r="AP30" s="298"/>
      <c r="AQ30" s="298"/>
      <c r="AR30" s="298"/>
      <c r="AS30" s="298"/>
      <c r="AT30" s="298"/>
      <c r="AU30" s="298"/>
      <c r="AV30" s="298"/>
      <c r="AW30" s="298"/>
      <c r="AX30" s="298"/>
      <c r="AY30" s="298"/>
      <c r="AZ30" s="298"/>
      <c r="BA30" s="207"/>
      <c r="BB30" s="207"/>
      <c r="BC30" s="298"/>
      <c r="BD30" s="298"/>
      <c r="BE30" s="298"/>
      <c r="BF30" s="298"/>
      <c r="BG30" s="298"/>
      <c r="BH30" s="298"/>
      <c r="BI30" s="298"/>
      <c r="BJ30" s="298"/>
      <c r="BK30" s="298"/>
      <c r="BL30" s="298"/>
      <c r="BM30" s="298"/>
      <c r="BN30" s="207"/>
      <c r="BO30" s="207"/>
      <c r="BP30" s="298"/>
      <c r="BQ30" s="298"/>
      <c r="BR30" s="298"/>
      <c r="BS30" s="298"/>
      <c r="BT30" s="298"/>
      <c r="BU30" s="298"/>
      <c r="BV30" s="298"/>
      <c r="BW30" s="298"/>
      <c r="BX30" s="298"/>
      <c r="BY30" s="298"/>
      <c r="BZ30" s="298"/>
      <c r="CA30" s="207"/>
      <c r="CB30" s="207"/>
      <c r="CC30" s="298"/>
      <c r="CD30" s="298"/>
      <c r="CE30" s="298"/>
      <c r="CF30" s="298"/>
      <c r="CG30" s="298"/>
      <c r="CH30" s="298"/>
      <c r="CI30" s="298"/>
      <c r="CJ30" s="298"/>
      <c r="CK30" s="298"/>
      <c r="CL30" s="298"/>
      <c r="CM30" s="298"/>
      <c r="CN30" s="207"/>
      <c r="CO30" s="207"/>
      <c r="CP30" s="298"/>
      <c r="CQ30" s="298"/>
      <c r="CR30" s="298"/>
      <c r="CS30" s="298"/>
      <c r="CT30" s="298"/>
      <c r="CU30" s="298"/>
      <c r="CV30" s="298"/>
      <c r="CW30" s="298"/>
      <c r="CX30" s="298"/>
      <c r="CY30" s="298"/>
      <c r="CZ30" s="298"/>
      <c r="DA30" s="207"/>
      <c r="DB30" s="207"/>
      <c r="DC30" s="298"/>
      <c r="DD30" s="298"/>
      <c r="DE30" s="298"/>
      <c r="DF30" s="298"/>
      <c r="DG30" s="298"/>
      <c r="DH30" s="298"/>
      <c r="DI30" s="298"/>
      <c r="DJ30" s="298"/>
      <c r="DK30" s="298"/>
      <c r="DL30" s="298"/>
      <c r="DM30" s="298"/>
      <c r="DN30" s="207"/>
      <c r="DO30" s="207"/>
      <c r="DP30" s="298"/>
      <c r="DQ30" s="298"/>
      <c r="DR30" s="298"/>
      <c r="DS30" s="298"/>
      <c r="DT30" s="298"/>
      <c r="DU30" s="298"/>
      <c r="DV30" s="298"/>
      <c r="DW30" s="298"/>
      <c r="DX30" s="298"/>
      <c r="DY30" s="298"/>
      <c r="DZ30" s="298"/>
      <c r="EA30" s="207"/>
      <c r="EB30" s="207"/>
      <c r="EC30" s="298"/>
      <c r="ED30" s="298"/>
      <c r="EE30" s="298"/>
      <c r="EF30" s="298"/>
      <c r="EG30" s="298"/>
      <c r="EH30" s="298"/>
      <c r="EI30" s="298"/>
      <c r="EJ30" s="298"/>
      <c r="EK30" s="298"/>
      <c r="EL30" s="298"/>
      <c r="EM30" s="298"/>
      <c r="EN30" s="207"/>
      <c r="EO30" s="207"/>
      <c r="EP30" s="298"/>
      <c r="EQ30" s="298"/>
      <c r="ER30" s="298"/>
      <c r="ES30" s="298"/>
      <c r="ET30" s="298"/>
      <c r="EU30" s="298"/>
      <c r="EV30" s="298"/>
      <c r="EW30" s="298"/>
      <c r="EX30" s="298"/>
      <c r="EY30" s="298"/>
      <c r="EZ30" s="298"/>
      <c r="FA30" s="207"/>
      <c r="FB30" s="207"/>
      <c r="FC30" s="298"/>
      <c r="FD30" s="298"/>
      <c r="FE30" s="298"/>
      <c r="FF30" s="298"/>
      <c r="FG30" s="298"/>
      <c r="FH30" s="298"/>
      <c r="FI30" s="298"/>
      <c r="FJ30" s="298"/>
      <c r="FK30" s="298"/>
      <c r="FL30" s="298"/>
      <c r="FM30" s="298"/>
      <c r="FN30" s="207"/>
      <c r="FO30" s="207"/>
      <c r="FP30" s="298"/>
      <c r="FQ30" s="298"/>
      <c r="FR30" s="298"/>
      <c r="FS30" s="298"/>
      <c r="FT30" s="298"/>
      <c r="FU30" s="298"/>
      <c r="FV30" s="298"/>
      <c r="FW30" s="298"/>
      <c r="FX30" s="298"/>
      <c r="FY30" s="298"/>
      <c r="FZ30" s="298"/>
      <c r="GA30" s="207"/>
      <c r="GB30" s="207"/>
      <c r="GC30" s="298"/>
      <c r="GD30" s="298"/>
      <c r="GE30" s="298"/>
      <c r="GF30" s="298"/>
      <c r="GG30" s="298"/>
      <c r="GH30" s="298"/>
      <c r="GI30" s="298"/>
      <c r="GJ30" s="298"/>
      <c r="GK30" s="298"/>
      <c r="GL30" s="298"/>
      <c r="GM30" s="298"/>
      <c r="GN30" s="207"/>
      <c r="GO30" s="207"/>
      <c r="GP30" s="298"/>
      <c r="GQ30" s="298"/>
      <c r="GR30" s="298"/>
      <c r="GS30" s="298"/>
      <c r="GT30" s="298"/>
      <c r="GU30" s="298"/>
      <c r="GV30" s="298"/>
      <c r="GW30" s="298"/>
      <c r="GX30" s="298"/>
      <c r="GY30" s="298"/>
      <c r="GZ30" s="298"/>
      <c r="HA30" s="207"/>
      <c r="HB30" s="207"/>
      <c r="HC30" s="298"/>
      <c r="HD30" s="298"/>
      <c r="HE30" s="298"/>
      <c r="HF30" s="298"/>
      <c r="HG30" s="298"/>
      <c r="HH30" s="298"/>
      <c r="HI30" s="298"/>
      <c r="HJ30" s="298"/>
      <c r="HK30" s="298"/>
      <c r="HL30" s="298"/>
      <c r="HM30" s="298"/>
      <c r="HN30" s="207"/>
      <c r="HO30" s="207"/>
      <c r="HP30" s="298"/>
      <c r="HQ30" s="298"/>
      <c r="HR30" s="298"/>
      <c r="HS30" s="298"/>
      <c r="HT30" s="298"/>
      <c r="HU30" s="298"/>
      <c r="HV30" s="298"/>
      <c r="HW30" s="298"/>
      <c r="HX30" s="298"/>
      <c r="HY30" s="298"/>
      <c r="HZ30" s="298"/>
      <c r="IA30" s="207"/>
      <c r="IB30" s="207"/>
      <c r="IC30" s="298"/>
      <c r="ID30" s="298"/>
      <c r="IE30" s="298"/>
      <c r="IF30" s="298"/>
      <c r="IG30" s="298"/>
      <c r="IH30" s="298"/>
      <c r="II30" s="298"/>
      <c r="IJ30" s="298"/>
      <c r="IK30" s="298"/>
      <c r="IL30" s="298"/>
      <c r="IM30" s="298"/>
      <c r="IN30" s="207"/>
      <c r="IO30" s="207"/>
      <c r="IP30" s="298"/>
      <c r="IQ30" s="298"/>
      <c r="IR30" s="298"/>
      <c r="IS30" s="298"/>
      <c r="IT30" s="298"/>
      <c r="IU30" s="298"/>
      <c r="IV30" s="298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7"/>
      <c r="Q31" s="297"/>
      <c r="R31" s="297"/>
      <c r="S31" s="297"/>
      <c r="T31" s="297"/>
      <c r="U31" s="297"/>
      <c r="V31" s="297"/>
      <c r="W31" s="297"/>
      <c r="X31" s="297"/>
      <c r="Y31" s="297"/>
      <c r="Z31" s="297"/>
      <c r="AA31" s="207"/>
      <c r="AB31" s="207"/>
      <c r="AC31" s="298"/>
      <c r="AD31" s="298"/>
      <c r="AE31" s="298"/>
      <c r="AF31" s="298"/>
      <c r="AG31" s="298"/>
      <c r="AH31" s="298"/>
      <c r="AI31" s="298"/>
      <c r="AJ31" s="298"/>
      <c r="AK31" s="298"/>
      <c r="AL31" s="298"/>
      <c r="AM31" s="298"/>
      <c r="AN31" s="207"/>
      <c r="AO31" s="207"/>
      <c r="AP31" s="298"/>
      <c r="AQ31" s="298"/>
      <c r="AR31" s="298"/>
      <c r="AS31" s="298"/>
      <c r="AT31" s="298"/>
      <c r="AU31" s="298"/>
      <c r="AV31" s="298"/>
      <c r="AW31" s="298"/>
      <c r="AX31" s="298"/>
      <c r="AY31" s="298"/>
      <c r="AZ31" s="298"/>
      <c r="BA31" s="207"/>
      <c r="BB31" s="207"/>
      <c r="BC31" s="298"/>
      <c r="BD31" s="298"/>
      <c r="BE31" s="298"/>
      <c r="BF31" s="298"/>
      <c r="BG31" s="298"/>
      <c r="BH31" s="298"/>
      <c r="BI31" s="298"/>
      <c r="BJ31" s="298"/>
      <c r="BK31" s="298"/>
      <c r="BL31" s="298"/>
      <c r="BM31" s="298"/>
      <c r="BN31" s="207"/>
      <c r="BO31" s="207"/>
      <c r="BP31" s="298"/>
      <c r="BQ31" s="298"/>
      <c r="BR31" s="298"/>
      <c r="BS31" s="298"/>
      <c r="BT31" s="298"/>
      <c r="BU31" s="298"/>
      <c r="BV31" s="298"/>
      <c r="BW31" s="298"/>
      <c r="BX31" s="298"/>
      <c r="BY31" s="298"/>
      <c r="BZ31" s="298"/>
      <c r="CA31" s="207"/>
      <c r="CB31" s="207"/>
      <c r="CC31" s="298"/>
      <c r="CD31" s="298"/>
      <c r="CE31" s="298"/>
      <c r="CF31" s="298"/>
      <c r="CG31" s="298"/>
      <c r="CH31" s="298"/>
      <c r="CI31" s="298"/>
      <c r="CJ31" s="298"/>
      <c r="CK31" s="298"/>
      <c r="CL31" s="298"/>
      <c r="CM31" s="298"/>
      <c r="CN31" s="207"/>
      <c r="CO31" s="207"/>
      <c r="CP31" s="298"/>
      <c r="CQ31" s="298"/>
      <c r="CR31" s="298"/>
      <c r="CS31" s="298"/>
      <c r="CT31" s="298"/>
      <c r="CU31" s="298"/>
      <c r="CV31" s="298"/>
      <c r="CW31" s="298"/>
      <c r="CX31" s="298"/>
      <c r="CY31" s="298"/>
      <c r="CZ31" s="298"/>
      <c r="DA31" s="207"/>
      <c r="DB31" s="207"/>
      <c r="DC31" s="298"/>
      <c r="DD31" s="298"/>
      <c r="DE31" s="298"/>
      <c r="DF31" s="298"/>
      <c r="DG31" s="298"/>
      <c r="DH31" s="298"/>
      <c r="DI31" s="298"/>
      <c r="DJ31" s="298"/>
      <c r="DK31" s="298"/>
      <c r="DL31" s="298"/>
      <c r="DM31" s="298"/>
      <c r="DN31" s="207"/>
      <c r="DO31" s="207"/>
      <c r="DP31" s="298"/>
      <c r="DQ31" s="298"/>
      <c r="DR31" s="298"/>
      <c r="DS31" s="298"/>
      <c r="DT31" s="298"/>
      <c r="DU31" s="298"/>
      <c r="DV31" s="298"/>
      <c r="DW31" s="298"/>
      <c r="DX31" s="298"/>
      <c r="DY31" s="298"/>
      <c r="DZ31" s="298"/>
      <c r="EA31" s="207"/>
      <c r="EB31" s="207"/>
      <c r="EC31" s="298"/>
      <c r="ED31" s="298"/>
      <c r="EE31" s="298"/>
      <c r="EF31" s="298"/>
      <c r="EG31" s="298"/>
      <c r="EH31" s="298"/>
      <c r="EI31" s="298"/>
      <c r="EJ31" s="298"/>
      <c r="EK31" s="298"/>
      <c r="EL31" s="298"/>
      <c r="EM31" s="298"/>
      <c r="EN31" s="207"/>
      <c r="EO31" s="207"/>
      <c r="EP31" s="298"/>
      <c r="EQ31" s="298"/>
      <c r="ER31" s="298"/>
      <c r="ES31" s="298"/>
      <c r="ET31" s="298"/>
      <c r="EU31" s="298"/>
      <c r="EV31" s="298"/>
      <c r="EW31" s="298"/>
      <c r="EX31" s="298"/>
      <c r="EY31" s="298"/>
      <c r="EZ31" s="298"/>
      <c r="FA31" s="207"/>
      <c r="FB31" s="207"/>
      <c r="FC31" s="298"/>
      <c r="FD31" s="298"/>
      <c r="FE31" s="298"/>
      <c r="FF31" s="298"/>
      <c r="FG31" s="298"/>
      <c r="FH31" s="298"/>
      <c r="FI31" s="298"/>
      <c r="FJ31" s="298"/>
      <c r="FK31" s="298"/>
      <c r="FL31" s="298"/>
      <c r="FM31" s="298"/>
      <c r="FN31" s="207"/>
      <c r="FO31" s="207"/>
      <c r="FP31" s="298"/>
      <c r="FQ31" s="298"/>
      <c r="FR31" s="298"/>
      <c r="FS31" s="298"/>
      <c r="FT31" s="298"/>
      <c r="FU31" s="298"/>
      <c r="FV31" s="298"/>
      <c r="FW31" s="298"/>
      <c r="FX31" s="298"/>
      <c r="FY31" s="298"/>
      <c r="FZ31" s="298"/>
      <c r="GA31" s="207"/>
      <c r="GB31" s="207"/>
      <c r="GC31" s="298"/>
      <c r="GD31" s="298"/>
      <c r="GE31" s="298"/>
      <c r="GF31" s="298"/>
      <c r="GG31" s="298"/>
      <c r="GH31" s="298"/>
      <c r="GI31" s="298"/>
      <c r="GJ31" s="298"/>
      <c r="GK31" s="298"/>
      <c r="GL31" s="298"/>
      <c r="GM31" s="298"/>
      <c r="GN31" s="207"/>
      <c r="GO31" s="207"/>
      <c r="GP31" s="298"/>
      <c r="GQ31" s="298"/>
      <c r="GR31" s="298"/>
      <c r="GS31" s="298"/>
      <c r="GT31" s="298"/>
      <c r="GU31" s="298"/>
      <c r="GV31" s="298"/>
      <c r="GW31" s="298"/>
      <c r="GX31" s="298"/>
      <c r="GY31" s="298"/>
      <c r="GZ31" s="298"/>
      <c r="HA31" s="207"/>
      <c r="HB31" s="207"/>
      <c r="HC31" s="298"/>
      <c r="HD31" s="298"/>
      <c r="HE31" s="298"/>
      <c r="HF31" s="298"/>
      <c r="HG31" s="298"/>
      <c r="HH31" s="298"/>
      <c r="HI31" s="298"/>
      <c r="HJ31" s="298"/>
      <c r="HK31" s="298"/>
      <c r="HL31" s="298"/>
      <c r="HM31" s="298"/>
      <c r="HN31" s="207"/>
      <c r="HO31" s="207"/>
      <c r="HP31" s="298"/>
      <c r="HQ31" s="298"/>
      <c r="HR31" s="298"/>
      <c r="HS31" s="298"/>
      <c r="HT31" s="298"/>
      <c r="HU31" s="298"/>
      <c r="HV31" s="298"/>
      <c r="HW31" s="298"/>
      <c r="HX31" s="298"/>
      <c r="HY31" s="298"/>
      <c r="HZ31" s="298"/>
      <c r="IA31" s="207"/>
      <c r="IB31" s="207"/>
      <c r="IC31" s="298"/>
      <c r="ID31" s="298"/>
      <c r="IE31" s="298"/>
      <c r="IF31" s="298"/>
      <c r="IG31" s="298"/>
      <c r="IH31" s="298"/>
      <c r="II31" s="298"/>
      <c r="IJ31" s="298"/>
      <c r="IK31" s="298"/>
      <c r="IL31" s="298"/>
      <c r="IM31" s="298"/>
      <c r="IN31" s="207"/>
      <c r="IO31" s="207"/>
      <c r="IP31" s="298"/>
      <c r="IQ31" s="298"/>
      <c r="IR31" s="298"/>
      <c r="IS31" s="298"/>
      <c r="IT31" s="298"/>
      <c r="IU31" s="298"/>
      <c r="IV31" s="298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9"/>
      <c r="Q32" s="299"/>
      <c r="R32" s="299"/>
      <c r="S32" s="299"/>
      <c r="T32" s="299"/>
      <c r="U32" s="299"/>
      <c r="V32" s="299"/>
      <c r="W32" s="299"/>
      <c r="X32" s="299"/>
      <c r="Y32" s="299"/>
      <c r="Z32" s="300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7"/>
      <c r="Q38" s="297"/>
      <c r="R38" s="297"/>
      <c r="S38" s="297"/>
      <c r="T38" s="297"/>
      <c r="U38" s="297"/>
      <c r="V38" s="297"/>
      <c r="W38" s="297"/>
      <c r="X38" s="297"/>
      <c r="Y38" s="297"/>
      <c r="Z38" s="297"/>
      <c r="AA38" s="207"/>
      <c r="AB38" s="207"/>
      <c r="AC38" s="298"/>
      <c r="AD38" s="298"/>
      <c r="AE38" s="298"/>
      <c r="AF38" s="298"/>
      <c r="AG38" s="298"/>
      <c r="AH38" s="298"/>
      <c r="AI38" s="298"/>
      <c r="AJ38" s="298"/>
      <c r="AK38" s="298"/>
      <c r="AL38" s="298"/>
      <c r="AM38" s="298"/>
      <c r="AN38" s="207"/>
      <c r="AO38" s="207"/>
      <c r="AP38" s="298"/>
      <c r="AQ38" s="298"/>
      <c r="AR38" s="298"/>
      <c r="AS38" s="298"/>
      <c r="AT38" s="298"/>
      <c r="AU38" s="298"/>
      <c r="AV38" s="298"/>
      <c r="AW38" s="298"/>
      <c r="AX38" s="298"/>
      <c r="AY38" s="298"/>
      <c r="AZ38" s="298"/>
      <c r="BA38" s="207"/>
      <c r="BB38" s="207"/>
      <c r="BC38" s="298"/>
      <c r="BD38" s="298"/>
      <c r="BE38" s="298"/>
      <c r="BF38" s="298"/>
      <c r="BG38" s="298"/>
      <c r="BH38" s="298"/>
      <c r="BI38" s="298"/>
      <c r="BJ38" s="298"/>
      <c r="BK38" s="298"/>
      <c r="BL38" s="298"/>
      <c r="BM38" s="298"/>
      <c r="BN38" s="207"/>
      <c r="BO38" s="207"/>
      <c r="BP38" s="298"/>
      <c r="BQ38" s="298"/>
      <c r="BR38" s="298"/>
      <c r="BS38" s="298"/>
      <c r="BT38" s="298"/>
      <c r="BU38" s="298"/>
      <c r="BV38" s="298"/>
      <c r="BW38" s="298"/>
      <c r="BX38" s="298"/>
      <c r="BY38" s="298"/>
      <c r="BZ38" s="298"/>
      <c r="CA38" s="207"/>
      <c r="CB38" s="207"/>
      <c r="CC38" s="298"/>
      <c r="CD38" s="298"/>
      <c r="CE38" s="298"/>
      <c r="CF38" s="298"/>
      <c r="CG38" s="298"/>
      <c r="CH38" s="298"/>
      <c r="CI38" s="298"/>
      <c r="CJ38" s="298"/>
      <c r="CK38" s="298"/>
      <c r="CL38" s="298"/>
      <c r="CM38" s="298"/>
      <c r="CN38" s="207"/>
      <c r="CO38" s="207"/>
      <c r="CP38" s="298"/>
      <c r="CQ38" s="298"/>
      <c r="CR38" s="298"/>
      <c r="CS38" s="298"/>
      <c r="CT38" s="298"/>
      <c r="CU38" s="298"/>
      <c r="CV38" s="298"/>
      <c r="CW38" s="298"/>
      <c r="CX38" s="298"/>
      <c r="CY38" s="298"/>
      <c r="CZ38" s="298"/>
      <c r="DA38" s="207"/>
      <c r="DB38" s="207"/>
      <c r="DC38" s="298"/>
      <c r="DD38" s="298"/>
      <c r="DE38" s="298"/>
      <c r="DF38" s="298"/>
      <c r="DG38" s="298"/>
      <c r="DH38" s="298"/>
      <c r="DI38" s="298"/>
      <c r="DJ38" s="298"/>
      <c r="DK38" s="298"/>
      <c r="DL38" s="298"/>
      <c r="DM38" s="298"/>
      <c r="DN38" s="207"/>
      <c r="DO38" s="207"/>
      <c r="DP38" s="298"/>
      <c r="DQ38" s="298"/>
      <c r="DR38" s="298"/>
      <c r="DS38" s="298"/>
      <c r="DT38" s="298"/>
      <c r="DU38" s="298"/>
      <c r="DV38" s="298"/>
      <c r="DW38" s="298"/>
      <c r="DX38" s="298"/>
      <c r="DY38" s="298"/>
      <c r="DZ38" s="298"/>
      <c r="EA38" s="207"/>
      <c r="EB38" s="207"/>
      <c r="EC38" s="298"/>
      <c r="ED38" s="298"/>
      <c r="EE38" s="298"/>
      <c r="EF38" s="298"/>
      <c r="EG38" s="298"/>
      <c r="EH38" s="298"/>
      <c r="EI38" s="298"/>
      <c r="EJ38" s="298"/>
      <c r="EK38" s="298"/>
      <c r="EL38" s="298"/>
      <c r="EM38" s="298"/>
      <c r="EN38" s="207"/>
      <c r="EO38" s="207"/>
      <c r="EP38" s="298"/>
      <c r="EQ38" s="298"/>
      <c r="ER38" s="298"/>
      <c r="ES38" s="298"/>
      <c r="ET38" s="298"/>
      <c r="EU38" s="298"/>
      <c r="EV38" s="298"/>
      <c r="EW38" s="298"/>
      <c r="EX38" s="298"/>
      <c r="EY38" s="298"/>
      <c r="EZ38" s="298"/>
      <c r="FA38" s="207"/>
      <c r="FB38" s="207"/>
      <c r="FC38" s="298"/>
      <c r="FD38" s="298"/>
      <c r="FE38" s="298"/>
      <c r="FF38" s="298"/>
      <c r="FG38" s="298"/>
      <c r="FH38" s="298"/>
      <c r="FI38" s="298"/>
      <c r="FJ38" s="298"/>
      <c r="FK38" s="298"/>
      <c r="FL38" s="298"/>
      <c r="FM38" s="298"/>
      <c r="FN38" s="207"/>
      <c r="FO38" s="207"/>
      <c r="FP38" s="298"/>
      <c r="FQ38" s="298"/>
      <c r="FR38" s="298"/>
      <c r="FS38" s="298"/>
      <c r="FT38" s="298"/>
      <c r="FU38" s="298"/>
      <c r="FV38" s="298"/>
      <c r="FW38" s="298"/>
      <c r="FX38" s="298"/>
      <c r="FY38" s="298"/>
      <c r="FZ38" s="298"/>
      <c r="GA38" s="207"/>
      <c r="GB38" s="207"/>
      <c r="GC38" s="298"/>
      <c r="GD38" s="298"/>
      <c r="GE38" s="298"/>
      <c r="GF38" s="298"/>
      <c r="GG38" s="298"/>
      <c r="GH38" s="298"/>
      <c r="GI38" s="298"/>
      <c r="GJ38" s="298"/>
      <c r="GK38" s="298"/>
      <c r="GL38" s="298"/>
      <c r="GM38" s="298"/>
      <c r="GN38" s="207"/>
      <c r="GO38" s="207"/>
      <c r="GP38" s="298"/>
      <c r="GQ38" s="298"/>
      <c r="GR38" s="298"/>
      <c r="GS38" s="298"/>
      <c r="GT38" s="298"/>
      <c r="GU38" s="298"/>
      <c r="GV38" s="298"/>
      <c r="GW38" s="298"/>
      <c r="GX38" s="298"/>
      <c r="GY38" s="298"/>
      <c r="GZ38" s="298"/>
      <c r="HA38" s="207"/>
      <c r="HB38" s="207"/>
      <c r="HC38" s="298"/>
      <c r="HD38" s="298"/>
      <c r="HE38" s="298"/>
      <c r="HF38" s="298"/>
      <c r="HG38" s="298"/>
      <c r="HH38" s="298"/>
      <c r="HI38" s="298"/>
      <c r="HJ38" s="298"/>
      <c r="HK38" s="298"/>
      <c r="HL38" s="298"/>
      <c r="HM38" s="298"/>
      <c r="HN38" s="207"/>
      <c r="HO38" s="207"/>
      <c r="HP38" s="298"/>
      <c r="HQ38" s="298"/>
      <c r="HR38" s="298"/>
      <c r="HS38" s="298"/>
      <c r="HT38" s="298"/>
      <c r="HU38" s="298"/>
      <c r="HV38" s="298"/>
      <c r="HW38" s="298"/>
      <c r="HX38" s="298"/>
      <c r="HY38" s="298"/>
      <c r="HZ38" s="298"/>
      <c r="IA38" s="207"/>
      <c r="IB38" s="207"/>
      <c r="IC38" s="298"/>
      <c r="ID38" s="298"/>
      <c r="IE38" s="298"/>
      <c r="IF38" s="298"/>
      <c r="IG38" s="298"/>
      <c r="IH38" s="298"/>
      <c r="II38" s="298"/>
      <c r="IJ38" s="298"/>
      <c r="IK38" s="298"/>
      <c r="IL38" s="298"/>
      <c r="IM38" s="298"/>
      <c r="IN38" s="207"/>
      <c r="IO38" s="207"/>
      <c r="IP38" s="298"/>
      <c r="IQ38" s="298"/>
      <c r="IR38" s="298"/>
      <c r="IS38" s="298"/>
      <c r="IT38" s="298"/>
      <c r="IU38" s="298"/>
      <c r="IV38" s="298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7"/>
      <c r="Q39" s="297"/>
      <c r="R39" s="297"/>
      <c r="S39" s="297"/>
      <c r="T39" s="297"/>
      <c r="U39" s="297"/>
      <c r="V39" s="297"/>
      <c r="W39" s="297"/>
      <c r="X39" s="297"/>
      <c r="Y39" s="297"/>
      <c r="Z39" s="297"/>
      <c r="AA39" s="207"/>
      <c r="AB39" s="207"/>
      <c r="AC39" s="298"/>
      <c r="AD39" s="298"/>
      <c r="AE39" s="298"/>
      <c r="AF39" s="298"/>
      <c r="AG39" s="298"/>
      <c r="AH39" s="298"/>
      <c r="AI39" s="298"/>
      <c r="AJ39" s="298"/>
      <c r="AK39" s="298"/>
      <c r="AL39" s="298"/>
      <c r="AM39" s="298"/>
      <c r="AN39" s="207"/>
      <c r="AO39" s="207"/>
      <c r="AP39" s="298"/>
      <c r="AQ39" s="298"/>
      <c r="AR39" s="298"/>
      <c r="AS39" s="298"/>
      <c r="AT39" s="298"/>
      <c r="AU39" s="298"/>
      <c r="AV39" s="298"/>
      <c r="AW39" s="298"/>
      <c r="AX39" s="298"/>
      <c r="AY39" s="298"/>
      <c r="AZ39" s="298"/>
      <c r="BA39" s="207"/>
      <c r="BB39" s="207"/>
      <c r="BC39" s="298"/>
      <c r="BD39" s="298"/>
      <c r="BE39" s="298"/>
      <c r="BF39" s="298"/>
      <c r="BG39" s="298"/>
      <c r="BH39" s="298"/>
      <c r="BI39" s="298"/>
      <c r="BJ39" s="298"/>
      <c r="BK39" s="298"/>
      <c r="BL39" s="298"/>
      <c r="BM39" s="298"/>
      <c r="BN39" s="207"/>
      <c r="BO39" s="207"/>
      <c r="BP39" s="298"/>
      <c r="BQ39" s="298"/>
      <c r="BR39" s="298"/>
      <c r="BS39" s="298"/>
      <c r="BT39" s="298"/>
      <c r="BU39" s="298"/>
      <c r="BV39" s="298"/>
      <c r="BW39" s="298"/>
      <c r="BX39" s="298"/>
      <c r="BY39" s="298"/>
      <c r="BZ39" s="298"/>
      <c r="CA39" s="207"/>
      <c r="CB39" s="207"/>
      <c r="CC39" s="298"/>
      <c r="CD39" s="298"/>
      <c r="CE39" s="298"/>
      <c r="CF39" s="298"/>
      <c r="CG39" s="298"/>
      <c r="CH39" s="298"/>
      <c r="CI39" s="298"/>
      <c r="CJ39" s="298"/>
      <c r="CK39" s="298"/>
      <c r="CL39" s="298"/>
      <c r="CM39" s="298"/>
      <c r="CN39" s="207"/>
      <c r="CO39" s="207"/>
      <c r="CP39" s="298"/>
      <c r="CQ39" s="298"/>
      <c r="CR39" s="298"/>
      <c r="CS39" s="298"/>
      <c r="CT39" s="298"/>
      <c r="CU39" s="298"/>
      <c r="CV39" s="298"/>
      <c r="CW39" s="298"/>
      <c r="CX39" s="298"/>
      <c r="CY39" s="298"/>
      <c r="CZ39" s="298"/>
      <c r="DA39" s="207"/>
      <c r="DB39" s="207"/>
      <c r="DC39" s="298"/>
      <c r="DD39" s="298"/>
      <c r="DE39" s="298"/>
      <c r="DF39" s="298"/>
      <c r="DG39" s="298"/>
      <c r="DH39" s="298"/>
      <c r="DI39" s="298"/>
      <c r="DJ39" s="298"/>
      <c r="DK39" s="298"/>
      <c r="DL39" s="298"/>
      <c r="DM39" s="298"/>
      <c r="DN39" s="207"/>
      <c r="DO39" s="207"/>
      <c r="DP39" s="298"/>
      <c r="DQ39" s="298"/>
      <c r="DR39" s="298"/>
      <c r="DS39" s="298"/>
      <c r="DT39" s="298"/>
      <c r="DU39" s="298"/>
      <c r="DV39" s="298"/>
      <c r="DW39" s="298"/>
      <c r="DX39" s="298"/>
      <c r="DY39" s="298"/>
      <c r="DZ39" s="298"/>
      <c r="EA39" s="207"/>
      <c r="EB39" s="207"/>
      <c r="EC39" s="298"/>
      <c r="ED39" s="298"/>
      <c r="EE39" s="298"/>
      <c r="EF39" s="298"/>
      <c r="EG39" s="298"/>
      <c r="EH39" s="298"/>
      <c r="EI39" s="298"/>
      <c r="EJ39" s="298"/>
      <c r="EK39" s="298"/>
      <c r="EL39" s="298"/>
      <c r="EM39" s="298"/>
      <c r="EN39" s="207"/>
      <c r="EO39" s="207"/>
      <c r="EP39" s="298"/>
      <c r="EQ39" s="298"/>
      <c r="ER39" s="298"/>
      <c r="ES39" s="298"/>
      <c r="ET39" s="298"/>
      <c r="EU39" s="298"/>
      <c r="EV39" s="298"/>
      <c r="EW39" s="298"/>
      <c r="EX39" s="298"/>
      <c r="EY39" s="298"/>
      <c r="EZ39" s="298"/>
      <c r="FA39" s="207"/>
      <c r="FB39" s="207"/>
      <c r="FC39" s="298"/>
      <c r="FD39" s="298"/>
      <c r="FE39" s="298"/>
      <c r="FF39" s="298"/>
      <c r="FG39" s="298"/>
      <c r="FH39" s="298"/>
      <c r="FI39" s="298"/>
      <c r="FJ39" s="298"/>
      <c r="FK39" s="298"/>
      <c r="FL39" s="298"/>
      <c r="FM39" s="298"/>
      <c r="FN39" s="207"/>
      <c r="FO39" s="207"/>
      <c r="FP39" s="298"/>
      <c r="FQ39" s="298"/>
      <c r="FR39" s="298"/>
      <c r="FS39" s="298"/>
      <c r="FT39" s="298"/>
      <c r="FU39" s="298"/>
      <c r="FV39" s="298"/>
      <c r="FW39" s="298"/>
      <c r="FX39" s="298"/>
      <c r="FY39" s="298"/>
      <c r="FZ39" s="298"/>
      <c r="GA39" s="207"/>
      <c r="GB39" s="207"/>
      <c r="GC39" s="298"/>
      <c r="GD39" s="298"/>
      <c r="GE39" s="298"/>
      <c r="GF39" s="298"/>
      <c r="GG39" s="298"/>
      <c r="GH39" s="298"/>
      <c r="GI39" s="298"/>
      <c r="GJ39" s="298"/>
      <c r="GK39" s="298"/>
      <c r="GL39" s="298"/>
      <c r="GM39" s="298"/>
      <c r="GN39" s="207"/>
      <c r="GO39" s="207"/>
      <c r="GP39" s="298"/>
      <c r="GQ39" s="298"/>
      <c r="GR39" s="298"/>
      <c r="GS39" s="298"/>
      <c r="GT39" s="298"/>
      <c r="GU39" s="298"/>
      <c r="GV39" s="298"/>
      <c r="GW39" s="298"/>
      <c r="GX39" s="298"/>
      <c r="GY39" s="298"/>
      <c r="GZ39" s="298"/>
      <c r="HA39" s="207"/>
      <c r="HB39" s="207"/>
      <c r="HC39" s="298"/>
      <c r="HD39" s="298"/>
      <c r="HE39" s="298"/>
      <c r="HF39" s="298"/>
      <c r="HG39" s="298"/>
      <c r="HH39" s="298"/>
      <c r="HI39" s="298"/>
      <c r="HJ39" s="298"/>
      <c r="HK39" s="298"/>
      <c r="HL39" s="298"/>
      <c r="HM39" s="298"/>
      <c r="HN39" s="207"/>
      <c r="HO39" s="207"/>
      <c r="HP39" s="298"/>
      <c r="HQ39" s="298"/>
      <c r="HR39" s="298"/>
      <c r="HS39" s="298"/>
      <c r="HT39" s="298"/>
      <c r="HU39" s="298"/>
      <c r="HV39" s="298"/>
      <c r="HW39" s="298"/>
      <c r="HX39" s="298"/>
      <c r="HY39" s="298"/>
      <c r="HZ39" s="298"/>
      <c r="IA39" s="207"/>
      <c r="IB39" s="207"/>
      <c r="IC39" s="298"/>
      <c r="ID39" s="298"/>
      <c r="IE39" s="298"/>
      <c r="IF39" s="298"/>
      <c r="IG39" s="298"/>
      <c r="IH39" s="298"/>
      <c r="II39" s="298"/>
      <c r="IJ39" s="298"/>
      <c r="IK39" s="298"/>
      <c r="IL39" s="298"/>
      <c r="IM39" s="298"/>
      <c r="IN39" s="207"/>
      <c r="IO39" s="207"/>
      <c r="IP39" s="298"/>
      <c r="IQ39" s="298"/>
      <c r="IR39" s="298"/>
      <c r="IS39" s="298"/>
      <c r="IT39" s="298"/>
      <c r="IU39" s="298"/>
      <c r="IV39" s="298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7"/>
      <c r="Q40" s="297"/>
      <c r="R40" s="297"/>
      <c r="S40" s="297"/>
      <c r="T40" s="297"/>
      <c r="U40" s="297"/>
      <c r="V40" s="297"/>
      <c r="W40" s="297"/>
      <c r="X40" s="297"/>
      <c r="Y40" s="297"/>
      <c r="Z40" s="297"/>
      <c r="AA40" s="207"/>
      <c r="AB40" s="207"/>
      <c r="AC40" s="298"/>
      <c r="AD40" s="298"/>
      <c r="AE40" s="298"/>
      <c r="AF40" s="298"/>
      <c r="AG40" s="298"/>
      <c r="AH40" s="298"/>
      <c r="AI40" s="298"/>
      <c r="AJ40" s="298"/>
      <c r="AK40" s="298"/>
      <c r="AL40" s="298"/>
      <c r="AM40" s="298"/>
      <c r="AN40" s="207"/>
      <c r="AO40" s="207"/>
      <c r="AP40" s="298"/>
      <c r="AQ40" s="298"/>
      <c r="AR40" s="298"/>
      <c r="AS40" s="298"/>
      <c r="AT40" s="298"/>
      <c r="AU40" s="298"/>
      <c r="AV40" s="298"/>
      <c r="AW40" s="298"/>
      <c r="AX40" s="298"/>
      <c r="AY40" s="298"/>
      <c r="AZ40" s="298"/>
      <c r="BA40" s="207"/>
      <c r="BB40" s="207"/>
      <c r="BC40" s="298"/>
      <c r="BD40" s="298"/>
      <c r="BE40" s="298"/>
      <c r="BF40" s="298"/>
      <c r="BG40" s="298"/>
      <c r="BH40" s="298"/>
      <c r="BI40" s="298"/>
      <c r="BJ40" s="298"/>
      <c r="BK40" s="298"/>
      <c r="BL40" s="298"/>
      <c r="BM40" s="298"/>
      <c r="BN40" s="207"/>
      <c r="BO40" s="207"/>
      <c r="BP40" s="298"/>
      <c r="BQ40" s="298"/>
      <c r="BR40" s="298"/>
      <c r="BS40" s="298"/>
      <c r="BT40" s="298"/>
      <c r="BU40" s="298"/>
      <c r="BV40" s="298"/>
      <c r="BW40" s="298"/>
      <c r="BX40" s="298"/>
      <c r="BY40" s="298"/>
      <c r="BZ40" s="298"/>
      <c r="CA40" s="207"/>
      <c r="CB40" s="207"/>
      <c r="CC40" s="298"/>
      <c r="CD40" s="298"/>
      <c r="CE40" s="298"/>
      <c r="CF40" s="298"/>
      <c r="CG40" s="298"/>
      <c r="CH40" s="298"/>
      <c r="CI40" s="298"/>
      <c r="CJ40" s="298"/>
      <c r="CK40" s="298"/>
      <c r="CL40" s="298"/>
      <c r="CM40" s="298"/>
      <c r="CN40" s="207"/>
      <c r="CO40" s="207"/>
      <c r="CP40" s="298"/>
      <c r="CQ40" s="298"/>
      <c r="CR40" s="298"/>
      <c r="CS40" s="298"/>
      <c r="CT40" s="298"/>
      <c r="CU40" s="298"/>
      <c r="CV40" s="298"/>
      <c r="CW40" s="298"/>
      <c r="CX40" s="298"/>
      <c r="CY40" s="298"/>
      <c r="CZ40" s="298"/>
      <c r="DA40" s="207"/>
      <c r="DB40" s="207"/>
      <c r="DC40" s="298"/>
      <c r="DD40" s="298"/>
      <c r="DE40" s="298"/>
      <c r="DF40" s="298"/>
      <c r="DG40" s="298"/>
      <c r="DH40" s="298"/>
      <c r="DI40" s="298"/>
      <c r="DJ40" s="298"/>
      <c r="DK40" s="298"/>
      <c r="DL40" s="298"/>
      <c r="DM40" s="298"/>
      <c r="DN40" s="207"/>
      <c r="DO40" s="207"/>
      <c r="DP40" s="298"/>
      <c r="DQ40" s="298"/>
      <c r="DR40" s="298"/>
      <c r="DS40" s="298"/>
      <c r="DT40" s="298"/>
      <c r="DU40" s="298"/>
      <c r="DV40" s="298"/>
      <c r="DW40" s="298"/>
      <c r="DX40" s="298"/>
      <c r="DY40" s="298"/>
      <c r="DZ40" s="298"/>
      <c r="EA40" s="207"/>
      <c r="EB40" s="207"/>
      <c r="EC40" s="298"/>
      <c r="ED40" s="298"/>
      <c r="EE40" s="298"/>
      <c r="EF40" s="298"/>
      <c r="EG40" s="298"/>
      <c r="EH40" s="298"/>
      <c r="EI40" s="298"/>
      <c r="EJ40" s="298"/>
      <c r="EK40" s="298"/>
      <c r="EL40" s="298"/>
      <c r="EM40" s="298"/>
      <c r="EN40" s="207"/>
      <c r="EO40" s="207"/>
      <c r="EP40" s="298"/>
      <c r="EQ40" s="298"/>
      <c r="ER40" s="298"/>
      <c r="ES40" s="298"/>
      <c r="ET40" s="298"/>
      <c r="EU40" s="298"/>
      <c r="EV40" s="298"/>
      <c r="EW40" s="298"/>
      <c r="EX40" s="298"/>
      <c r="EY40" s="298"/>
      <c r="EZ40" s="298"/>
      <c r="FA40" s="207"/>
      <c r="FB40" s="207"/>
      <c r="FC40" s="298"/>
      <c r="FD40" s="298"/>
      <c r="FE40" s="298"/>
      <c r="FF40" s="298"/>
      <c r="FG40" s="298"/>
      <c r="FH40" s="298"/>
      <c r="FI40" s="298"/>
      <c r="FJ40" s="298"/>
      <c r="FK40" s="298"/>
      <c r="FL40" s="298"/>
      <c r="FM40" s="298"/>
      <c r="FN40" s="207"/>
      <c r="FO40" s="207"/>
      <c r="FP40" s="298"/>
      <c r="FQ40" s="298"/>
      <c r="FR40" s="298"/>
      <c r="FS40" s="298"/>
      <c r="FT40" s="298"/>
      <c r="FU40" s="298"/>
      <c r="FV40" s="298"/>
      <c r="FW40" s="298"/>
      <c r="FX40" s="298"/>
      <c r="FY40" s="298"/>
      <c r="FZ40" s="298"/>
      <c r="GA40" s="207"/>
      <c r="GB40" s="207"/>
      <c r="GC40" s="298"/>
      <c r="GD40" s="298"/>
      <c r="GE40" s="298"/>
      <c r="GF40" s="298"/>
      <c r="GG40" s="298"/>
      <c r="GH40" s="298"/>
      <c r="GI40" s="298"/>
      <c r="GJ40" s="298"/>
      <c r="GK40" s="298"/>
      <c r="GL40" s="298"/>
      <c r="GM40" s="298"/>
      <c r="GN40" s="207"/>
      <c r="GO40" s="207"/>
      <c r="GP40" s="298"/>
      <c r="GQ40" s="298"/>
      <c r="GR40" s="298"/>
      <c r="GS40" s="298"/>
      <c r="GT40" s="298"/>
      <c r="GU40" s="298"/>
      <c r="GV40" s="298"/>
      <c r="GW40" s="298"/>
      <c r="GX40" s="298"/>
      <c r="GY40" s="298"/>
      <c r="GZ40" s="298"/>
      <c r="HA40" s="207"/>
      <c r="HB40" s="207"/>
      <c r="HC40" s="298"/>
      <c r="HD40" s="298"/>
      <c r="HE40" s="298"/>
      <c r="HF40" s="298"/>
      <c r="HG40" s="298"/>
      <c r="HH40" s="298"/>
      <c r="HI40" s="298"/>
      <c r="HJ40" s="298"/>
      <c r="HK40" s="298"/>
      <c r="HL40" s="298"/>
      <c r="HM40" s="298"/>
      <c r="HN40" s="207"/>
      <c r="HO40" s="207"/>
      <c r="HP40" s="298"/>
      <c r="HQ40" s="298"/>
      <c r="HR40" s="298"/>
      <c r="HS40" s="298"/>
      <c r="HT40" s="298"/>
      <c r="HU40" s="298"/>
      <c r="HV40" s="298"/>
      <c r="HW40" s="298"/>
      <c r="HX40" s="298"/>
      <c r="HY40" s="298"/>
      <c r="HZ40" s="298"/>
      <c r="IA40" s="207"/>
      <c r="IB40" s="207"/>
      <c r="IC40" s="298"/>
      <c r="ID40" s="298"/>
      <c r="IE40" s="298"/>
      <c r="IF40" s="298"/>
      <c r="IG40" s="298"/>
      <c r="IH40" s="298"/>
      <c r="II40" s="298"/>
      <c r="IJ40" s="298"/>
      <c r="IK40" s="298"/>
      <c r="IL40" s="298"/>
      <c r="IM40" s="298"/>
      <c r="IN40" s="207"/>
      <c r="IO40" s="207"/>
      <c r="IP40" s="298"/>
      <c r="IQ40" s="298"/>
      <c r="IR40" s="298"/>
      <c r="IS40" s="298"/>
      <c r="IT40" s="298"/>
      <c r="IU40" s="298"/>
      <c r="IV40" s="298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B0A" sheet="1" objects="1" scenarios="1"/>
  <mergeCells count="214">
    <mergeCell ref="BP40:BZ40"/>
    <mergeCell ref="P40:Z40"/>
    <mergeCell ref="AC40:AM40"/>
    <mergeCell ref="CC40:CM40"/>
    <mergeCell ref="CP40:CZ40"/>
    <mergeCell ref="GP40:GZ40"/>
    <mergeCell ref="C46:M46"/>
    <mergeCell ref="GC40:GM40"/>
    <mergeCell ref="EC40:EM40"/>
    <mergeCell ref="C44:M44"/>
    <mergeCell ref="DP40:DZ40"/>
    <mergeCell ref="C43:M43"/>
    <mergeCell ref="BC40:BM40"/>
    <mergeCell ref="HC40:HM40"/>
    <mergeCell ref="EC39:EM39"/>
    <mergeCell ref="GC39:GM39"/>
    <mergeCell ref="EP40:EZ40"/>
    <mergeCell ref="DC40:DM40"/>
    <mergeCell ref="IP40:IV40"/>
    <mergeCell ref="HP40:HZ40"/>
    <mergeCell ref="IC40:IM40"/>
    <mergeCell ref="FC40:FM40"/>
    <mergeCell ref="FP40:FZ40"/>
    <mergeCell ref="DP39:DZ39"/>
    <mergeCell ref="IP39:IV39"/>
    <mergeCell ref="EP39:EZ39"/>
    <mergeCell ref="FC39:FM39"/>
    <mergeCell ref="FP39:FZ39"/>
    <mergeCell ref="GP39:GZ39"/>
    <mergeCell ref="IC39:IM39"/>
    <mergeCell ref="BC38:BM38"/>
    <mergeCell ref="P39:Z39"/>
    <mergeCell ref="AC39:AM39"/>
    <mergeCell ref="AP39:AZ39"/>
    <mergeCell ref="HP39:HZ39"/>
    <mergeCell ref="BP39:BZ39"/>
    <mergeCell ref="CC39:CM39"/>
    <mergeCell ref="CP39:CZ39"/>
    <mergeCell ref="HC39:HM39"/>
    <mergeCell ref="DC39:DM39"/>
    <mergeCell ref="P38:Z38"/>
    <mergeCell ref="AC38:AM38"/>
    <mergeCell ref="AP38:AZ38"/>
    <mergeCell ref="HP38:HZ38"/>
    <mergeCell ref="BP38:BZ38"/>
    <mergeCell ref="CC38:CM38"/>
    <mergeCell ref="DC38:DM38"/>
    <mergeCell ref="DP38:DZ38"/>
    <mergeCell ref="EC38:EM38"/>
    <mergeCell ref="CP38:CZ38"/>
    <mergeCell ref="GC31:GM31"/>
    <mergeCell ref="GP31:GZ31"/>
    <mergeCell ref="HC31:HM31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IC38:IM38"/>
    <mergeCell ref="IP38:IV38"/>
    <mergeCell ref="BP32:BZ32"/>
    <mergeCell ref="FC32:FM32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P32:FZ32"/>
    <mergeCell ref="GC32:GM32"/>
    <mergeCell ref="IC31:IM31"/>
    <mergeCell ref="FC30:FM30"/>
    <mergeCell ref="FP30:FZ30"/>
    <mergeCell ref="FC31:FM31"/>
    <mergeCell ref="FP31:FZ31"/>
    <mergeCell ref="HP32:HZ32"/>
    <mergeCell ref="IC32:IM32"/>
    <mergeCell ref="DP31:DZ31"/>
    <mergeCell ref="EC31:EM31"/>
    <mergeCell ref="EP31:EZ31"/>
    <mergeCell ref="HP31:HZ31"/>
    <mergeCell ref="HC30:HM30"/>
    <mergeCell ref="DC32:DM32"/>
    <mergeCell ref="P29:Z29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CC29:CM29"/>
    <mergeCell ref="HC29:HM29"/>
    <mergeCell ref="GP32:GZ32"/>
    <mergeCell ref="EP30:EZ30"/>
    <mergeCell ref="DP32:DZ32"/>
    <mergeCell ref="EC32:EM32"/>
    <mergeCell ref="EP32:EZ32"/>
    <mergeCell ref="EC30:EM30"/>
    <mergeCell ref="GC30:GM30"/>
    <mergeCell ref="GP30:GZ30"/>
    <mergeCell ref="FP29:FZ29"/>
    <mergeCell ref="GC29:GM29"/>
    <mergeCell ref="GP29:GZ29"/>
    <mergeCell ref="IP29:IV29"/>
    <mergeCell ref="C42:M42"/>
    <mergeCell ref="P30:Z30"/>
    <mergeCell ref="AC30:AM30"/>
    <mergeCell ref="AP30:AZ30"/>
    <mergeCell ref="C41:M41"/>
    <mergeCell ref="C33:M33"/>
    <mergeCell ref="P32:Z32"/>
    <mergeCell ref="AC32:AM32"/>
    <mergeCell ref="AP32:AZ32"/>
    <mergeCell ref="CC32:CM32"/>
    <mergeCell ref="C32:M32"/>
    <mergeCell ref="DC29:DM29"/>
    <mergeCell ref="DP29:DZ29"/>
    <mergeCell ref="CC30:CM30"/>
    <mergeCell ref="BC30:BM30"/>
    <mergeCell ref="BP30:BZ30"/>
    <mergeCell ref="DC30:DM30"/>
    <mergeCell ref="DP30:DZ30"/>
    <mergeCell ref="BC29:BM29"/>
    <mergeCell ref="BP29:BZ29"/>
    <mergeCell ref="HP29:HZ29"/>
    <mergeCell ref="IC29:IM29"/>
    <mergeCell ref="HP30:HZ30"/>
    <mergeCell ref="P31:Z31"/>
    <mergeCell ref="AC31:AM31"/>
    <mergeCell ref="AP31:AZ31"/>
    <mergeCell ref="C18:M18"/>
    <mergeCell ref="C19:M19"/>
    <mergeCell ref="C20:M20"/>
    <mergeCell ref="AP29:AZ29"/>
    <mergeCell ref="C27:M27"/>
    <mergeCell ref="C28:M28"/>
    <mergeCell ref="AC29:AM29"/>
    <mergeCell ref="C26:M26"/>
    <mergeCell ref="C25:M25"/>
    <mergeCell ref="C24:M24"/>
    <mergeCell ref="C23:M23"/>
    <mergeCell ref="C22:M22"/>
    <mergeCell ref="C21:M21"/>
    <mergeCell ref="C34:M34"/>
    <mergeCell ref="C35:M35"/>
    <mergeCell ref="C30:M30"/>
    <mergeCell ref="C31:M31"/>
    <mergeCell ref="C36:M36"/>
    <mergeCell ref="C38:M38"/>
    <mergeCell ref="C37:M37"/>
    <mergeCell ref="C29:M29"/>
    <mergeCell ref="A1:I1"/>
    <mergeCell ref="C3:M3"/>
    <mergeCell ref="C4:M4"/>
    <mergeCell ref="F2:I2"/>
    <mergeCell ref="A2:E2"/>
    <mergeCell ref="C5:M5"/>
    <mergeCell ref="C6:M6"/>
    <mergeCell ref="C7:M7"/>
    <mergeCell ref="C8:M8"/>
    <mergeCell ref="C47:M47"/>
    <mergeCell ref="C48:M48"/>
    <mergeCell ref="C49:M49"/>
    <mergeCell ref="C51:M51"/>
    <mergeCell ref="C62:M62"/>
    <mergeCell ref="C39:M39"/>
    <mergeCell ref="C40:M40"/>
    <mergeCell ref="C45:M45"/>
    <mergeCell ref="C52:M52"/>
    <mergeCell ref="C50:M50"/>
    <mergeCell ref="C53:M53"/>
    <mergeCell ref="C54:M54"/>
    <mergeCell ref="C55:M55"/>
    <mergeCell ref="C63:M63"/>
    <mergeCell ref="C64:M64"/>
    <mergeCell ref="C65:M65"/>
    <mergeCell ref="C56:M56"/>
    <mergeCell ref="C57:M57"/>
    <mergeCell ref="C59:M59"/>
    <mergeCell ref="C77:M77"/>
    <mergeCell ref="C78:M78"/>
    <mergeCell ref="C79:M79"/>
    <mergeCell ref="C61:M61"/>
    <mergeCell ref="C60:M60"/>
    <mergeCell ref="C58:M58"/>
    <mergeCell ref="C76:M76"/>
    <mergeCell ref="C66:M66"/>
    <mergeCell ref="C70:M70"/>
    <mergeCell ref="A72:E72"/>
    <mergeCell ref="C73:M73"/>
    <mergeCell ref="C74:M74"/>
    <mergeCell ref="C75:M75"/>
    <mergeCell ref="C67:M67"/>
    <mergeCell ref="C68:M68"/>
    <mergeCell ref="C69:M69"/>
    <mergeCell ref="C80:M80"/>
    <mergeCell ref="C81:M81"/>
    <mergeCell ref="C82:M82"/>
    <mergeCell ref="C87:M87"/>
    <mergeCell ref="C88:M88"/>
    <mergeCell ref="C89:M89"/>
    <mergeCell ref="C90:M90"/>
    <mergeCell ref="C83:M83"/>
    <mergeCell ref="C84:M84"/>
    <mergeCell ref="C85:M85"/>
    <mergeCell ref="C86:M86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2013-08-22T15:44:49Z</cp:lastPrinted>
  <dcterms:created xsi:type="dcterms:W3CDTF">1997-12-04T19:04:30Z</dcterms:created>
  <dcterms:modified xsi:type="dcterms:W3CDTF">2013-12-05T18:56:56Z</dcterms:modified>
</cp:coreProperties>
</file>