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C20" i="12"/>
  <c r="B19" i="12"/>
  <c r="B21" i="12"/>
  <c r="B20" i="12"/>
  <c r="C11" i="12"/>
  <c r="C12" i="12"/>
  <c r="C10" i="12"/>
  <c r="B10" i="12"/>
  <c r="B12" i="12"/>
  <c r="B11" i="12"/>
  <c r="C28" i="12"/>
  <c r="B28" i="12"/>
  <c r="C39" i="12"/>
  <c r="C37" i="12"/>
  <c r="B39" i="12"/>
  <c r="B37" i="12"/>
  <c r="G22" i="1"/>
  <c r="G24" i="1"/>
  <c r="G14" i="1"/>
  <c r="G471" i="1"/>
  <c r="G467" i="1"/>
  <c r="G464" i="1"/>
  <c r="F367" i="1"/>
  <c r="F366" i="1"/>
  <c r="H603" i="1"/>
  <c r="I357" i="1"/>
  <c r="H357" i="1"/>
  <c r="G357" i="1"/>
  <c r="F357" i="1"/>
  <c r="H24" i="1" l="1"/>
  <c r="H160" i="1"/>
  <c r="F276" i="1"/>
  <c r="I492" i="1"/>
  <c r="J492" i="1"/>
  <c r="H581" i="1" l="1"/>
  <c r="F144" i="1"/>
  <c r="F239" i="1"/>
  <c r="F250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F49" i="2" s="1"/>
  <c r="E36" i="2"/>
  <c r="D36" i="2"/>
  <c r="D49" i="2" s="1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C124" i="2" s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D17" i="13" s="1"/>
  <c r="C17" i="13" s="1"/>
  <c r="L250" i="1"/>
  <c r="F18" i="13"/>
  <c r="G18" i="13"/>
  <c r="L251" i="1"/>
  <c r="D18" i="13" s="1"/>
  <c r="C18" i="13" s="1"/>
  <c r="F19" i="13"/>
  <c r="G19" i="13"/>
  <c r="L252" i="1"/>
  <c r="F29" i="13"/>
  <c r="G29" i="13"/>
  <c r="L357" i="1"/>
  <c r="L358" i="1"/>
  <c r="L359" i="1"/>
  <c r="G660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E117" i="2" s="1"/>
  <c r="L281" i="1"/>
  <c r="L282" i="1"/>
  <c r="E119" i="2" s="1"/>
  <c r="L283" i="1"/>
  <c r="L284" i="1"/>
  <c r="E121" i="2" s="1"/>
  <c r="L285" i="1"/>
  <c r="L286" i="1"/>
  <c r="E123" i="2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G661" i="1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E131" i="2" s="1"/>
  <c r="L254" i="1"/>
  <c r="L335" i="1"/>
  <c r="E129" i="2" s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C61" i="2" s="1"/>
  <c r="C62" i="2" s="1"/>
  <c r="F93" i="1"/>
  <c r="F110" i="1"/>
  <c r="G110" i="1"/>
  <c r="G111" i="1" s="1"/>
  <c r="H78" i="1"/>
  <c r="E56" i="2" s="1"/>
  <c r="E61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I168" i="1" s="1"/>
  <c r="C11" i="10"/>
  <c r="C12" i="10"/>
  <c r="C13" i="10"/>
  <c r="C15" i="10"/>
  <c r="L249" i="1"/>
  <c r="L331" i="1"/>
  <c r="L253" i="1"/>
  <c r="L267" i="1"/>
  <c r="L268" i="1"/>
  <c r="L348" i="1"/>
  <c r="E141" i="2" s="1"/>
  <c r="L349" i="1"/>
  <c r="I664" i="1"/>
  <c r="I669" i="1"/>
  <c r="F660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L521" i="1"/>
  <c r="F549" i="1" s="1"/>
  <c r="L522" i="1"/>
  <c r="F550" i="1" s="1"/>
  <c r="L525" i="1"/>
  <c r="G548" i="1" s="1"/>
  <c r="L526" i="1"/>
  <c r="G549" i="1" s="1"/>
  <c r="G551" i="1" s="1"/>
  <c r="L527" i="1"/>
  <c r="G550" i="1" s="1"/>
  <c r="L530" i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L541" i="1"/>
  <c r="J549" i="1" s="1"/>
  <c r="L542" i="1"/>
  <c r="J550" i="1" s="1"/>
  <c r="E130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E49" i="2" s="1"/>
  <c r="E50" i="2" s="1"/>
  <c r="F34" i="2"/>
  <c r="C35" i="2"/>
  <c r="D35" i="2"/>
  <c r="E35" i="2"/>
  <c r="F35" i="2"/>
  <c r="I453" i="1"/>
  <c r="I455" i="1"/>
  <c r="J43" i="1" s="1"/>
  <c r="I456" i="1"/>
  <c r="J37" i="1" s="1"/>
  <c r="I458" i="1"/>
  <c r="J47" i="1" s="1"/>
  <c r="G46" i="2" s="1"/>
  <c r="C48" i="2"/>
  <c r="D55" i="2"/>
  <c r="F55" i="2"/>
  <c r="C57" i="2"/>
  <c r="E57" i="2"/>
  <c r="C58" i="2"/>
  <c r="D58" i="2"/>
  <c r="D61" i="2" s="1"/>
  <c r="D62" i="2" s="1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C110" i="2"/>
  <c r="C111" i="2"/>
  <c r="E111" i="2"/>
  <c r="C112" i="2"/>
  <c r="E112" i="2"/>
  <c r="C113" i="2"/>
  <c r="D114" i="2"/>
  <c r="F114" i="2"/>
  <c r="G114" i="2"/>
  <c r="E118" i="2"/>
  <c r="E120" i="2"/>
  <c r="E122" i="2"/>
  <c r="E124" i="2"/>
  <c r="F127" i="2"/>
  <c r="G127" i="2"/>
  <c r="C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F459" i="1"/>
  <c r="G459" i="1"/>
  <c r="H459" i="1"/>
  <c r="F460" i="1"/>
  <c r="H638" i="1" s="1"/>
  <c r="J638" i="1" s="1"/>
  <c r="G460" i="1"/>
  <c r="H460" i="1"/>
  <c r="H640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G544" i="1" s="1"/>
  <c r="H523" i="1"/>
  <c r="I523" i="1"/>
  <c r="I544" i="1" s="1"/>
  <c r="J523" i="1"/>
  <c r="K523" i="1"/>
  <c r="K544" i="1" s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2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G639" i="1"/>
  <c r="H639" i="1"/>
  <c r="G640" i="1"/>
  <c r="J640" i="1" s="1"/>
  <c r="G642" i="1"/>
  <c r="J642" i="1" s="1"/>
  <c r="H642" i="1"/>
  <c r="G643" i="1"/>
  <c r="J643" i="1" s="1"/>
  <c r="H643" i="1"/>
  <c r="G644" i="1"/>
  <c r="H646" i="1"/>
  <c r="G649" i="1"/>
  <c r="G651" i="1"/>
  <c r="H651" i="1"/>
  <c r="G652" i="1"/>
  <c r="H652" i="1"/>
  <c r="G653" i="1"/>
  <c r="H653" i="1"/>
  <c r="H654" i="1"/>
  <c r="L255" i="1"/>
  <c r="I256" i="1"/>
  <c r="I270" i="1" s="1"/>
  <c r="G163" i="2"/>
  <c r="C18" i="2"/>
  <c r="C26" i="10"/>
  <c r="L350" i="1"/>
  <c r="L289" i="1"/>
  <c r="C69" i="2"/>
  <c r="G161" i="2"/>
  <c r="D15" i="13"/>
  <c r="C15" i="13" s="1"/>
  <c r="F102" i="2"/>
  <c r="E18" i="2"/>
  <c r="D6" i="13"/>
  <c r="C6" i="13" s="1"/>
  <c r="G158" i="2"/>
  <c r="G80" i="2"/>
  <c r="F61" i="2"/>
  <c r="F62" i="2" s="1"/>
  <c r="C77" i="2"/>
  <c r="C80" i="2" s="1"/>
  <c r="G156" i="2"/>
  <c r="F18" i="2"/>
  <c r="G155" i="2"/>
  <c r="E102" i="2"/>
  <c r="D90" i="2"/>
  <c r="E31" i="2"/>
  <c r="G61" i="2"/>
  <c r="D19" i="13"/>
  <c r="C19" i="13" s="1"/>
  <c r="E13" i="13"/>
  <c r="C13" i="13" s="1"/>
  <c r="E77" i="2"/>
  <c r="E80" i="2" s="1"/>
  <c r="J256" i="1"/>
  <c r="J270" i="1" s="1"/>
  <c r="F111" i="1"/>
  <c r="J570" i="1"/>
  <c r="L432" i="1"/>
  <c r="D80" i="2"/>
  <c r="H168" i="1"/>
  <c r="J475" i="1"/>
  <c r="H625" i="1" s="1"/>
  <c r="H475" i="1"/>
  <c r="H623" i="1" s="1"/>
  <c r="F475" i="1"/>
  <c r="H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9" i="1"/>
  <c r="G22" i="2"/>
  <c r="K597" i="1"/>
  <c r="G646" i="1" s="1"/>
  <c r="J646" i="1" s="1"/>
  <c r="C29" i="10"/>
  <c r="H139" i="1"/>
  <c r="L400" i="1"/>
  <c r="C138" i="2" s="1"/>
  <c r="L392" i="1"/>
  <c r="A13" i="12"/>
  <c r="F22" i="13"/>
  <c r="H25" i="13"/>
  <c r="C25" i="13" s="1"/>
  <c r="J639" i="1"/>
  <c r="J633" i="1"/>
  <c r="H570" i="1"/>
  <c r="L559" i="1"/>
  <c r="J544" i="1"/>
  <c r="H337" i="1"/>
  <c r="H351" i="1" s="1"/>
  <c r="F337" i="1"/>
  <c r="F351" i="1" s="1"/>
  <c r="G191" i="1"/>
  <c r="H191" i="1"/>
  <c r="C35" i="10"/>
  <c r="L308" i="1"/>
  <c r="E16" i="13"/>
  <c r="C49" i="2"/>
  <c r="J654" i="1"/>
  <c r="J644" i="1"/>
  <c r="L569" i="1"/>
  <c r="I570" i="1"/>
  <c r="G36" i="2"/>
  <c r="L564" i="1"/>
  <c r="K550" i="1"/>
  <c r="C22" i="13"/>
  <c r="C137" i="2"/>
  <c r="C16" i="13"/>
  <c r="H33" i="13"/>
  <c r="H544" i="1" l="1"/>
  <c r="E127" i="2"/>
  <c r="J48" i="1"/>
  <c r="G47" i="2" s="1"/>
  <c r="I459" i="1"/>
  <c r="F31" i="2"/>
  <c r="D31" i="2"/>
  <c r="J22" i="1"/>
  <c r="I451" i="1"/>
  <c r="I460" i="1" s="1"/>
  <c r="H641" i="1" s="1"/>
  <c r="C31" i="2"/>
  <c r="C50" i="2" s="1"/>
  <c r="J10" i="1"/>
  <c r="G9" i="2" s="1"/>
  <c r="I445" i="1"/>
  <c r="G641" i="1" s="1"/>
  <c r="D18" i="2"/>
  <c r="J548" i="1"/>
  <c r="J551" i="1" s="1"/>
  <c r="L543" i="1"/>
  <c r="H548" i="1"/>
  <c r="H551" i="1" s="1"/>
  <c r="L533" i="1"/>
  <c r="F548" i="1"/>
  <c r="L523" i="1"/>
  <c r="E55" i="2"/>
  <c r="E62" i="2" s="1"/>
  <c r="E103" i="2" s="1"/>
  <c r="H111" i="1"/>
  <c r="A31" i="12"/>
  <c r="A40" i="12"/>
  <c r="E143" i="2"/>
  <c r="C25" i="10"/>
  <c r="C131" i="2"/>
  <c r="E113" i="2"/>
  <c r="L327" i="1"/>
  <c r="E110" i="2"/>
  <c r="E114" i="2" s="1"/>
  <c r="H660" i="1"/>
  <c r="D126" i="2"/>
  <c r="D127" i="2" s="1"/>
  <c r="D29" i="13"/>
  <c r="C29" i="13" s="1"/>
  <c r="H661" i="1"/>
  <c r="G650" i="1"/>
  <c r="J650" i="1" s="1"/>
  <c r="F661" i="1"/>
  <c r="I661" i="1" s="1"/>
  <c r="C123" i="2"/>
  <c r="G648" i="1"/>
  <c r="J648" i="1" s="1"/>
  <c r="C20" i="10"/>
  <c r="C122" i="2"/>
  <c r="D14" i="13"/>
  <c r="C14" i="13" s="1"/>
  <c r="C120" i="2"/>
  <c r="C118" i="2"/>
  <c r="D7" i="13"/>
  <c r="C7" i="13" s="1"/>
  <c r="C117" i="2"/>
  <c r="C108" i="2"/>
  <c r="C121" i="2"/>
  <c r="C119" i="2"/>
  <c r="E8" i="13"/>
  <c r="C8" i="13" s="1"/>
  <c r="F50" i="2"/>
  <c r="K604" i="1"/>
  <c r="G647" i="1" s="1"/>
  <c r="K570" i="1"/>
  <c r="L528" i="1"/>
  <c r="L426" i="1"/>
  <c r="L418" i="1"/>
  <c r="L381" i="1"/>
  <c r="G635" i="1" s="1"/>
  <c r="J635" i="1" s="1"/>
  <c r="K256" i="1"/>
  <c r="K270" i="1" s="1"/>
  <c r="G256" i="1"/>
  <c r="G270" i="1" s="1"/>
  <c r="F191" i="1"/>
  <c r="H51" i="1"/>
  <c r="H618" i="1" s="1"/>
  <c r="G623" i="1"/>
  <c r="J623" i="1" s="1"/>
  <c r="F51" i="1"/>
  <c r="H616" i="1" s="1"/>
  <c r="G621" i="1"/>
  <c r="J621" i="1" s="1"/>
  <c r="J616" i="1"/>
  <c r="G162" i="2"/>
  <c r="B160" i="2"/>
  <c r="G160" i="2" s="1"/>
  <c r="K499" i="1"/>
  <c r="G159" i="2"/>
  <c r="G157" i="2"/>
  <c r="G102" i="2"/>
  <c r="C102" i="2"/>
  <c r="F90" i="2"/>
  <c r="C90" i="2"/>
  <c r="F77" i="2"/>
  <c r="F80" i="2" s="1"/>
  <c r="J337" i="1"/>
  <c r="J351" i="1" s="1"/>
  <c r="F270" i="1"/>
  <c r="D144" i="2"/>
  <c r="C23" i="10"/>
  <c r="I660" i="1"/>
  <c r="C19" i="10"/>
  <c r="L336" i="1"/>
  <c r="C21" i="10"/>
  <c r="C127" i="2"/>
  <c r="E33" i="13"/>
  <c r="D35" i="13" s="1"/>
  <c r="D12" i="13"/>
  <c r="C12" i="13" s="1"/>
  <c r="C18" i="10"/>
  <c r="C17" i="10"/>
  <c r="C16" i="10"/>
  <c r="L246" i="1"/>
  <c r="H659" i="1" s="1"/>
  <c r="H663" i="1" s="1"/>
  <c r="H671" i="1" s="1"/>
  <c r="C6" i="10" s="1"/>
  <c r="L228" i="1"/>
  <c r="C109" i="2"/>
  <c r="C114" i="2" s="1"/>
  <c r="D5" i="13"/>
  <c r="C5" i="13" s="1"/>
  <c r="L210" i="1"/>
  <c r="F659" i="1" s="1"/>
  <c r="F663" i="1" s="1"/>
  <c r="C10" i="10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G49" i="2" s="1"/>
  <c r="G50" i="2" s="1"/>
  <c r="J50" i="1"/>
  <c r="G16" i="2"/>
  <c r="G18" i="2" s="1"/>
  <c r="J19" i="1"/>
  <c r="G620" i="1" s="1"/>
  <c r="F33" i="13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H647" i="1"/>
  <c r="J647" i="1" s="1"/>
  <c r="C103" i="2"/>
  <c r="J651" i="1"/>
  <c r="J641" i="1"/>
  <c r="G570" i="1"/>
  <c r="I433" i="1"/>
  <c r="G433" i="1"/>
  <c r="I662" i="1"/>
  <c r="C27" i="10"/>
  <c r="G634" i="1"/>
  <c r="J634" i="1" s="1"/>
  <c r="K548" i="1" l="1"/>
  <c r="K551" i="1" s="1"/>
  <c r="F551" i="1"/>
  <c r="E144" i="2"/>
  <c r="L544" i="1"/>
  <c r="D31" i="13"/>
  <c r="C31" i="13" s="1"/>
  <c r="C144" i="2"/>
  <c r="C28" i="10"/>
  <c r="D23" i="10" s="1"/>
  <c r="L256" i="1"/>
  <c r="L270" i="1" s="1"/>
  <c r="G631" i="1" s="1"/>
  <c r="J631" i="1" s="1"/>
  <c r="H666" i="1"/>
  <c r="G659" i="1"/>
  <c r="G663" i="1" s="1"/>
  <c r="G671" i="1" s="1"/>
  <c r="C5" i="10" s="1"/>
  <c r="F671" i="1"/>
  <c r="C4" i="10" s="1"/>
  <c r="F666" i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D33" i="13" l="1"/>
  <c r="D36" i="13" s="1"/>
  <c r="D27" i="10"/>
  <c r="D18" i="10"/>
  <c r="D17" i="10"/>
  <c r="D20" i="10"/>
  <c r="D15" i="10"/>
  <c r="D12" i="10"/>
  <c r="D10" i="10"/>
  <c r="D13" i="10"/>
  <c r="D26" i="10"/>
  <c r="D11" i="10"/>
  <c r="D25" i="10"/>
  <c r="D19" i="10"/>
  <c r="D24" i="10"/>
  <c r="C30" i="10"/>
  <c r="D21" i="10"/>
  <c r="D16" i="10"/>
  <c r="D22" i="10"/>
  <c r="I659" i="1"/>
  <c r="I663" i="1" s="1"/>
  <c r="I671" i="1" s="1"/>
  <c r="C7" i="10" s="1"/>
  <c r="G666" i="1"/>
  <c r="H655" i="1"/>
  <c r="C41" i="10"/>
  <c r="D38" i="10" s="1"/>
  <c r="D28" i="10" l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<sst xmlns="http://schemas.openxmlformats.org/spreadsheetml/2006/main" count="3965" uniqueCount="926">
  <si>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</si>
  <si>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</si>
  <si>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</si>
  <si>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</si>
  <si>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</si>
  <si>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</si>
  <si>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</si>
  <si>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</si>
  <si>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</si>
  <si>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</si>
  <si>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</si>
  <si>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</si>
  <si>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</si>
  <si>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</si>
  <si>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</si>
  <si>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</si>
  <si>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</si>
  <si>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</si>
  <si>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</si>
  <si>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</si>
  <si>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</si>
  <si>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</si>
  <si>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</si>
  <si>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</si>
  <si>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</si>
  <si>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</si>
  <si>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</si>
  <si>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</si>
  <si>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</si>
  <si>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</si>
  <si>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</si>
  <si>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</si>
  <si>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</si>
  <si>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</si>
  <si>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</si>
  <si>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</si>
  <si>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</si>
  <si>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</si>
  <si>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</si>
  <si>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</si>
  <si>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</si>
  <si>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</si>
  <si>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</si>
  <si>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</si>
  <si>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</si>
  <si>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</si>
  <si>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</si>
  <si>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</si>
  <si>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</si>
  <si>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</si>
  <si>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</si>
  <si>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</si>
  <si>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</si>
  <si>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</si>
  <si>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</si>
  <si>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</si>
  <si>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</si>
  <si>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</si>
  <si>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</si>
  <si>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</si>
  <si>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</si>
  <si>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</si>
  <si>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</si>
  <si>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</si>
  <si>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</si>
  <si>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</si>
  <si>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</si>
  <si>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</si>
  <si>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</si>
  <si>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</si>
  <si>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</si>
  <si>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</si>
  <si>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</si>
  <si>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</si>
  <si>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</si>
  <si>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</si>
  <si>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</si>
  <si>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</si>
  <si>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</si>
  <si>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</si>
  <si>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</si>
  <si>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</si>
  <si>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</si>
  <si>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</si>
  <si>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</si>
  <si>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</si>
  <si>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</si>
  <si>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</si>
  <si>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</si>
  <si>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</si>
  <si>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</si>
  <si>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</si>
  <si>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</si>
  <si>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</si>
  <si>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</si>
  <si>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</si>
  <si>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</si>
  <si>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</si>
  <si>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</si>
  <si>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</si>
  <si>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</si>
  <si>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</si>
  <si>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</si>
  <si>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</si>
  <si>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</si>
  <si>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</si>
  <si>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</si>
  <si>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</si>
  <si>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</si>
  <si>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</si>
  <si>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</si>
  <si>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</si>
  <si>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</si>
  <si>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</si>
  <si>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</si>
  <si>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</si>
  <si>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</si>
  <si>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</si>
  <si>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</si>
  <si>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</si>
  <si>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</si>
  <si>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</si>
  <si>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</si>
  <si>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</si>
  <si>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</si>
  <si>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</si>
  <si>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</si>
  <si>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</si>
  <si>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</si>
  <si>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</si>
  <si>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</si>
  <si>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</si>
  <si>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</si>
  <si>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</si>
  <si>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</si>
  <si>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</si>
  <si>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</si>
  <si>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</si>
  <si>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</si>
  <si>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</si>
  <si>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</si>
  <si>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</si>
  <si>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</si>
  <si>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</si>
  <si>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</si>
  <si>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</si>
  <si>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</si>
  <si>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</si>
  <si>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</si>
  <si>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</si>
  <si>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</si>
  <si>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</si>
  <si>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</si>
  <si>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</si>
  <si>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</si>
  <si>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</si>
  <si>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</si>
  <si>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</si>
  <si>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</si>
  <si>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</si>
  <si>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</si>
  <si>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</si>
  <si>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</si>
  <si>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</si>
  <si>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</si>
  <si>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</si>
  <si>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</si>
  <si>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</si>
  <si>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</si>
  <si>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</si>
  <si>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</si>
  <si>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</si>
  <si>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</si>
  <si>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</si>
  <si>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</si>
  <si>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</si>
  <si>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</si>
  <si>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</si>
  <si>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</si>
  <si>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</si>
  <si>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</si>
  <si>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</si>
  <si>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</si>
  <si>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</si>
  <si>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</si>
  <si>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</si>
  <si>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</si>
  <si>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</si>
  <si>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</si>
  <si>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</si>
  <si>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</si>
  <si>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</si>
  <si>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</si>
  <si>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</si>
  <si>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</si>
  <si>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</si>
  <si>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</si>
  <si>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</si>
  <si>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</si>
  <si>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</si>
  <si>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</si>
  <si>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</si>
  <si>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</si>
  <si>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</si>
  <si>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</si>
  <si>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</si>
  <si>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</si>
  <si>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</si>
  <si>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</si>
  <si>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</si>
  <si>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</si>
  <si>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</si>
  <si>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</si>
  <si>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</si>
  <si>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</si>
  <si>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</si>
  <si>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</si>
  <si>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</si>
  <si>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</si>
  <si>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</si>
  <si>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</si>
  <si>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</si>
  <si>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</si>
  <si>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</si>
  <si>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</si>
  <si>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</si>
  <si>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</si>
  <si>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</si>
  <si>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</si>
  <si>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</si>
  <si>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</si>
  <si>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</si>
  <si>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</si>
  <si>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</si>
  <si>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</si>
  <si>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</si>
  <si>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</si>
  <si>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</si>
  <si>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</si>
  <si>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</si>
  <si>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</si>
  <si>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</si>
  <si>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</si>
  <si>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</si>
  <si>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</si>
  <si>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</si>
  <si>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</si>
  <si>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</si>
  <si>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</si>
  <si>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</si>
  <si>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</si>
  <si>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</si>
  <si>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</si>
  <si>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</si>
  <si>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</si>
  <si>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</si>
  <si>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</si>
  <si>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</si>
  <si>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</si>
  <si>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</si>
  <si>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</si>
  <si>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</si>
  <si>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</si>
  <si>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</si>
  <si>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</si>
  <si>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</si>
  <si>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</si>
  <si>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</si>
  <si>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</si>
  <si>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</si>
  <si>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</si>
  <si>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</si>
  <si>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</si>
  <si>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</si>
  <si>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</si>
  <si>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</si>
  <si>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</si>
  <si>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</si>
  <si>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</si>
  <si>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</si>
  <si>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</si>
  <si>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</si>
  <si>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</si>
  <si>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</si>
  <si>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</si>
  <si>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</si>
  <si>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</si>
  <si>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</si>
  <si>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</si>
  <si>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</si>
  <si>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</si>
  <si>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</si>
  <si>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</si>
  <si>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</si>
  <si>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</si>
  <si>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</si>
  <si>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</si>
  <si>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</si>
  <si>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</si>
  <si>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</si>
  <si>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</si>
  <si>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</si>
  <si>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</si>
  <si>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</si>
  <si>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</si>
  <si>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</si>
  <si>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</si>
  <si>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</si>
  <si>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</si>
  <si>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</si>
  <si>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</si>
  <si>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</si>
  <si>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</si>
  <si>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</si>
  <si>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</si>
  <si>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</si>
  <si>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</si>
  <si>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</si>
  <si>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</si>
  <si>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</si>
  <si>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</si>
  <si>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</si>
  <si>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</si>
  <si>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</si>
  <si>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</si>
  <si>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</si>
  <si>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</si>
  <si>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</si>
  <si>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</si>
  <si>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</si>
  <si>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</si>
  <si>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</si>
  <si>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</si>
  <si>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</si>
  <si>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</si>
  <si>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</si>
  <si>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</si>
  <si>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</si>
  <si>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</si>
  <si>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</si>
  <si>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</si>
  <si>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</si>
  <si>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</si>
  <si>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</si>
  <si>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</si>
  <si>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</si>
  <si>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</si>
  <si>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</si>
  <si>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</si>
  <si>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</si>
  <si>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</si>
  <si>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</si>
  <si>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</si>
  <si>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</si>
  <si>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</si>
  <si>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</si>
  <si>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</si>
  <si>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</si>
  <si>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</si>
  <si>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</si>
  <si>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</si>
  <si>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</si>
  <si>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</si>
  <si>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</si>
  <si>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</si>
  <si>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</si>
  <si>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</si>
  <si>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</si>
  <si>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</si>
  <si>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</si>
  <si>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</si>
  <si>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</si>
  <si>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</si>
  <si>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</si>
  <si>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</si>
  <si>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</si>
  <si>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</si>
  <si>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</si>
  <si>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</si>
  <si>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</si>
  <si>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</si>
  <si>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</si>
  <si>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</si>
  <si>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</si>
  <si>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</si>
  <si>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</si>
  <si>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</si>
  <si>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</si>
  <si>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</si>
  <si>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</si>
  <si>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</si>
  <si>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</si>
  <si>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</si>
  <si>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</si>
  <si>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</si>
  <si>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</si>
  <si>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</si>
  <si>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</si>
  <si>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</si>
  <si>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</si>
  <si>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</si>
  <si>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</si>
  <si>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</si>
  <si>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</si>
  <si>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</si>
  <si>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</si>
  <si>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</si>
  <si>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</si>
  <si>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</si>
  <si>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</si>
  <si>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</si>
  <si>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</si>
  <si>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</si>
  <si>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</si>
  <si>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</si>
  <si>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</si>
  <si>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</si>
  <si>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</si>
  <si>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</si>
  <si>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</si>
  <si>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</si>
  <si>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</si>
  <si>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</si>
  <si>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</si>
  <si>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</si>
  <si>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</si>
  <si>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</si>
  <si>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</si>
  <si>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</si>
  <si>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</si>
  <si>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</si>
  <si>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</si>
  <si>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</si>
  <si>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</si>
  <si>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</si>
  <si>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</si>
  <si>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</si>
  <si>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</si>
  <si>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</si>
  <si>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</si>
  <si>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</si>
  <si>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</si>
  <si>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</si>
  <si>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</si>
  <si>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</si>
  <si>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</si>
  <si>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</si>
  <si>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</si>
  <si>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</si>
  <si>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</si>
  <si>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</si>
  <si>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</si>
  <si>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</si>
  <si>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</si>
  <si>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</si>
  <si>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</si>
  <si>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</si>
  <si>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</si>
  <si>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</si>
  <si>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</si>
  <si>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</si>
  <si>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</si>
  <si>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</si>
  <si>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</si>
  <si>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</si>
  <si>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</si>
  <si>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</si>
  <si>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</si>
  <si>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</si>
  <si>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</si>
  <si>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</si>
  <si>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</si>
  <si>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</si>
  <si>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</si>
  <si>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</si>
  <si>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</si>
  <si>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</si>
  <si>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</si>
  <si>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</si>
  <si>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</si>
  <si>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</si>
  <si>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</si>
  <si>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</si>
  <si>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</si>
  <si>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</si>
  <si>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</si>
  <si>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</si>
  <si>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</si>
  <si>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</si>
  <si>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</si>
  <si>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</si>
  <si>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</si>
  <si>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</si>
  <si>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</si>
  <si>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</si>
  <si>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</si>
  <si>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</si>
  <si>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</si>
  <si>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</si>
  <si>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</si>
  <si>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</si>
  <si>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</si>
  <si>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</si>
  <si>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</si>
  <si>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</si>
  <si>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</si>
  <si>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</si>
  <si>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</si>
  <si>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</si>
  <si>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</si>
  <si>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</si>
  <si>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</si>
  <si>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</si>
  <si>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</si>
  <si>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</si>
  <si>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</si>
  <si>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</si>
  <si>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</si>
  <si>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</si>
  <si>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</si>
  <si>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</si>
  <si>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</si>
  <si>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</si>
  <si>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</si>
  <si>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</si>
  <si>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</si>
  <si>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</si>
  <si>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</si>
  <si>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</si>
  <si>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</si>
  <si>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</si>
  <si>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</si>
  <si>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</si>
  <si>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</si>
  <si>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</si>
  <si>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</si>
  <si>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</si>
  <si>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</si>
  <si>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</si>
  <si>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</si>
  <si>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</si>
  <si>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</si>
  <si>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</si>
  <si>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</si>
  <si>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</si>
  <si>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</si>
  <si>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</si>
  <si>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</si>
  <si>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</si>
  <si>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</si>
  <si>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</si>
  <si>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</si>
  <si>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</si>
  <si>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</si>
  <si>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</si>
  <si>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</si>
  <si>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</si>
  <si>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</si>
  <si>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</si>
  <si>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</si>
  <si>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</si>
  <si>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</si>
  <si>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</si>
  <si>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</si>
  <si>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</si>
  <si>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</si>
  <si>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</si>
  <si>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</si>
  <si>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</si>
  <si>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</si>
  <si>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</si>
  <si>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</si>
  <si>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</si>
  <si>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</si>
  <si>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</si>
  <si>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</si>
  <si>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</si>
  <si>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</si>
  <si>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</si>
  <si>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</si>
  <si>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</si>
  <si>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</si>
  <si>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</si>
  <si>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</si>
  <si>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</si>
  <si>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</si>
  <si>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</si>
  <si>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</si>
  <si>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</si>
  <si>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</si>
  <si>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</si>
  <si>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</si>
  <si>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</si>
  <si>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</si>
  <si>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</si>
  <si>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</si>
  <si>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</si>
  <si>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</si>
  <si>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</si>
  <si>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</si>
  <si>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</si>
  <si>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</si>
  <si>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</si>
  <si>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</si>
  <si>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</si>
  <si>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</si>
  <si>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</si>
  <si>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</si>
  <si>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</si>
  <si>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</si>
  <si>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</si>
  <si>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</si>
  <si>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</si>
  <si>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</si>
  <si>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</si>
  <si>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</si>
  <si>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</si>
  <si>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</si>
  <si>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</si>
  <si>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</si>
  <si>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</si>
  <si>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</si>
  <si>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</si>
  <si>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</si>
  <si>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</si>
  <si>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</si>
  <si>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</si>
  <si>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</si>
  <si>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</si>
  <si>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</si>
  <si>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</si>
  <si>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</si>
  <si>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</si>
  <si>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</si>
  <si>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</si>
  <si>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</si>
  <si>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</si>
  <si>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</si>
  <si>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</si>
  <si>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</si>
  <si>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</si>
  <si>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</si>
  <si>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</si>
  <si>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</si>
  <si>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</si>
  <si>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</si>
  <si>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</si>
  <si>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</si>
  <si>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</si>
  <si>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</si>
  <si>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</si>
  <si>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</si>
  <si>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</si>
  <si>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</si>
  <si>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</si>
  <si>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</si>
  <si>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</si>
  <si>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</si>
  <si>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</si>
  <si>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</si>
  <si>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</si>
  <si>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</si>
  <si>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</si>
  <si>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</si>
  <si>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</si>
  <si>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</si>
  <si>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</si>
  <si>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</si>
  <si>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</si>
  <si>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</si>
  <si>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</si>
  <si>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</si>
  <si>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</si>
  <si>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</si>
  <si>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</si>
  <si>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</si>
  <si>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</si>
  <si>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</si>
  <si>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</si>
  <si>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</si>
  <si>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</si>
  <si>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</si>
  <si>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</si>
  <si>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</si>
  <si>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</si>
  <si>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</si>
  <si>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</si>
  <si>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</si>
  <si>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</si>
  <si>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</si>
  <si>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</si>
  <si>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</si>
  <si>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</si>
  <si>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</si>
  <si>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</si>
  <si>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</si>
  <si>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</si>
  <si>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</si>
  <si>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</si>
  <si>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</si>
  <si>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</si>
  <si>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</si>
  <si>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</si>
  <si>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</si>
  <si>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</si>
  <si>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</si>
  <si>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</si>
  <si>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</si>
  <si>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</si>
  <si>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</si>
  <si>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</si>
  <si>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</si>
  <si>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</si>
  <si>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</si>
  <si>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</si>
  <si>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</si>
  <si>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</si>
  <si>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</si>
  <si>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</si>
  <si>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</si>
  <si>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</si>
  <si>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</si>
  <si>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</si>
  <si>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</si>
  <si>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</si>
  <si>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</si>
  <si>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</si>
  <si>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</si>
  <si>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</si>
  <si>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</si>
  <si>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</si>
  <si>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</si>
  <si>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</si>
  <si>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</si>
  <si>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</si>
  <si>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</si>
  <si>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</si>
  <si>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</si>
  <si>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</si>
  <si>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</si>
  <si>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</si>
  <si>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</si>
  <si>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</si>
  <si>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</si>
  <si>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</si>
  <si>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</si>
  <si>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</si>
  <si>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</si>
  <si>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</si>
  <si>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</si>
  <si>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</si>
  <si>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</si>
  <si>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</si>
  <si>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</si>
  <si>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</si>
  <si>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</si>
  <si>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</si>
  <si>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</si>
  <si>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</si>
  <si>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</si>
  <si>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</si>
  <si>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</si>
  <si>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</si>
  <si>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</si>
  <si>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</si>
  <si>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</si>
  <si>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</si>
  <si>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</si>
  <si>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</si>
  <si>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</si>
  <si>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</si>
  <si>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</si>
  <si>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</si>
  <si>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</si>
  <si>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</si>
  <si>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</si>
  <si>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</si>
  <si>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</si>
  <si>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</si>
  <si>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</si>
  <si>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</si>
  <si>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</si>
  <si>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</si>
  <si>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</si>
  <si>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</si>
  <si>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</si>
  <si>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</si>
  <si>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</si>
  <si>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</si>
  <si>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</si>
  <si>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</si>
  <si>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</si>
  <si>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</si>
  <si>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</si>
  <si>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</si>
  <si>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</si>
  <si>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</si>
  <si>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</si>
  <si>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</si>
  <si>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</si>
  <si>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</si>
  <si>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</si>
  <si>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</si>
  <si>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</si>
  <si>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</si>
  <si>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</si>
  <si>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</si>
  <si>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</si>
  <si>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</si>
  <si>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</si>
  <si>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</si>
  <si>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</si>
  <si>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</si>
  <si>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</si>
  <si>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</si>
  <si>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</si>
  <si>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</si>
  <si>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</si>
  <si>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</si>
  <si>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</si>
  <si>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</si>
  <si>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</si>
  <si>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</si>
  <si>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</si>
  <si>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</si>
  <si>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</si>
  <si>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</si>
  <si>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</si>
  <si>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</si>
  <si>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</si>
  <si>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</si>
  <si>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</si>
  <si>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</si>
  <si>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</si>
  <si>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</si>
  <si>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</si>
  <si>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</si>
  <si>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</si>
  <si>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</si>
  <si>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</si>
  <si>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</si>
  <si>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</si>
  <si>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</si>
  <si>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</si>
  <si>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</si>
  <si>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</si>
  <si>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</si>
  <si>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</si>
  <si>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</si>
  <si>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</si>
  <si>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</si>
  <si>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</si>
  <si>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</si>
  <si>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</si>
  <si>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</si>
  <si>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</si>
  <si>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</si>
  <si>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</si>
  <si>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</si>
  <si>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</si>
  <si>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</si>
  <si>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</si>
  <si>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</si>
  <si>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</si>
  <si>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</si>
  <si>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</si>
  <si>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</si>
  <si>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</si>
  <si>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</si>
  <si>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</si>
  <si>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</si>
  <si>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</si>
  <si>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</si>
  <si>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</si>
  <si>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</si>
  <si>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</si>
  <si>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</si>
  <si>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</si>
  <si>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</si>
  <si>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</si>
  <si>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</si>
  <si>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</si>
  <si>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</si>
  <si>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</si>
  <si>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</si>
  <si>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</si>
  <si>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</si>
  <si>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</si>
  <si>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</si>
  <si>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</si>
  <si>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</si>
  <si>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</si>
  <si>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</si>
  <si>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</si>
  <si>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</si>
  <si>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</si>
  <si>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</si>
  <si>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</si>
  <si>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</si>
  <si>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</si>
  <si>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</si>
  <si>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</si>
  <si>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</si>
  <si>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</si>
  <si>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</si>
  <si>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</si>
  <si>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</si>
  <si>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</si>
  <si>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</si>
  <si>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VARIES</t>
  </si>
  <si>
    <t>07/01/01</t>
  </si>
  <si>
    <t>07/01/03</t>
  </si>
  <si>
    <t>07/01/05</t>
  </si>
  <si>
    <t>PRIOR TO 2020</t>
  </si>
  <si>
    <t>07/01/21</t>
  </si>
  <si>
    <t>07/01/23</t>
  </si>
  <si>
    <t>07/01/25</t>
  </si>
  <si>
    <t>BEYOND 2027</t>
  </si>
  <si>
    <t>Rochester</t>
  </si>
  <si>
    <t>6 Col. 1</t>
  </si>
  <si>
    <t>turned over to the city.</t>
  </si>
  <si>
    <t>3 Col. 2</t>
  </si>
  <si>
    <t>6 Col. 2</t>
  </si>
  <si>
    <t>$18,689.17 is ending inventory</t>
  </si>
  <si>
    <t>$13,373.53 is beginning inventory</t>
  </si>
  <si>
    <t>The $ 328,382.15 is made up of $ 122,085.08 in excess revenue and $ 206,297.07 in appropriation not spent that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</si>
</sst>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461</v>
      </c>
      <c r="C2" s="21">
        <v>461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>
        <v>1071495.6499999999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524483.13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f>105171.96+20877.37</f>
        <v>126049.33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18689.169999999998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144738.5</v>
      </c>
      <c r="H19" s="41">
        <f>SUM(H9:H18)</f>
        <v>524483.13</v>
      </c>
      <c r="I19" s="41">
        <f>SUM(I9:I18)</f>
        <v>1071495.6499999999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29104.57+19246.45</f>
        <v>48351.020000000004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f>53597.78+1630.92</f>
        <v>55228.7</v>
      </c>
      <c r="H24" s="18">
        <f>501974.84+16975.4</f>
        <v>518950.24000000005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103579.72</v>
      </c>
      <c r="H32" s="41">
        <f>SUM(H22:H31)</f>
        <v>518950.24000000005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18689.169999999998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544822.80000000005</v>
      </c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22469.61</v>
      </c>
      <c r="H47" s="18">
        <v>5532.89</v>
      </c>
      <c r="I47" s="18">
        <v>526672.85</v>
      </c>
      <c r="J47" s="13">
        <f>SUM(I458)</f>
        <v>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41158.78</v>
      </c>
      <c r="H50" s="41">
        <f>SUM(H35:H49)</f>
        <v>5532.89</v>
      </c>
      <c r="I50" s="41">
        <f>SUM(I35:I49)</f>
        <v>1071495.6499999999</v>
      </c>
      <c r="J50" s="41">
        <f>SUM(J35:J49)</f>
        <v>0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0</v>
      </c>
      <c r="G51" s="41">
        <f>G50+G32</f>
        <v>144738.5</v>
      </c>
      <c r="H51" s="41">
        <f>H50+H32</f>
        <v>524483.13</v>
      </c>
      <c r="I51" s="41">
        <f>I50+I32</f>
        <v>1071495.6499999999</v>
      </c>
      <c r="J51" s="41">
        <f>J50+J32</f>
        <v>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23575303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23575303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8620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2163591.8199999998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132919.51999999999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32008.85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2337140.19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724945.76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11385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25594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858.75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52014.59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12786.09</v>
      </c>
      <c r="G109" s="18">
        <v>27588.7</v>
      </c>
      <c r="H109" s="18">
        <v>750</v>
      </c>
      <c r="I109" s="18">
        <v>1071495.6499999999</v>
      </c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102638.43</v>
      </c>
      <c r="G110" s="41">
        <f>SUM(G95:G109)</f>
        <v>752534.46</v>
      </c>
      <c r="H110" s="41">
        <f>SUM(H95:H109)</f>
        <v>750</v>
      </c>
      <c r="I110" s="41">
        <f>SUM(I95:I109)</f>
        <v>1071495.6499999999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26015081.620000001</v>
      </c>
      <c r="G111" s="41">
        <f>G59+G110</f>
        <v>752534.46</v>
      </c>
      <c r="H111" s="41">
        <f>H59+H78+H93+H110</f>
        <v>750</v>
      </c>
      <c r="I111" s="41">
        <f>I59+I110</f>
        <v>1071495.6499999999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22458109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4930448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27388557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840077.3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294925.44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31149.03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10925.94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19870.990000000002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>
        <v>84407.2</v>
      </c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1177077.71</v>
      </c>
      <c r="G135" s="41">
        <f>SUM(G122:G134)</f>
        <v>104278.19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28565634.710000001</v>
      </c>
      <c r="G139" s="41">
        <f>G120+SUM(G135:G136)</f>
        <v>104278.19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f>71559.54+21665.6</f>
        <v>93225.139999999985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93225.139999999985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1368570.24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675081.89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141517.21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20404.57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1029089.38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1049071.04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609280.46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89128.88+5650</f>
        <v>94778.880000000005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609280.46</v>
      </c>
      <c r="G161" s="41">
        <f>SUM(G149:G160)</f>
        <v>1029089.38</v>
      </c>
      <c r="H161" s="41">
        <f>SUM(H149:H160)</f>
        <v>3349423.8299999996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73258.149999999994</v>
      </c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775763.75</v>
      </c>
      <c r="G168" s="41">
        <f>G146+G161+SUM(G162:G167)</f>
        <v>1029089.38</v>
      </c>
      <c r="H168" s="41">
        <f>H146+H161+SUM(H162:H167)</f>
        <v>3349423.8299999996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55356480.079999998</v>
      </c>
      <c r="G192" s="47">
        <f>G111+G139+G168+G191</f>
        <v>1885902.0299999998</v>
      </c>
      <c r="H192" s="47">
        <f>H111+H139+H168+H191</f>
        <v>3350173.8299999996</v>
      </c>
      <c r="I192" s="47">
        <f>I111+I139+I168+I191</f>
        <v>1071495.6499999999</v>
      </c>
      <c r="J192" s="47">
        <f>J111+J139+J191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6884007.29</v>
      </c>
      <c r="G196" s="18">
        <v>2689941.35</v>
      </c>
      <c r="H196" s="18">
        <v>102036.9</v>
      </c>
      <c r="I196" s="18">
        <v>215927.97</v>
      </c>
      <c r="J196" s="18">
        <v>3107.11</v>
      </c>
      <c r="K196" s="18"/>
      <c r="L196" s="19">
        <f>SUM(F196:K196)</f>
        <v>9895020.620000001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4647857.04</v>
      </c>
      <c r="G197" s="18">
        <v>1542699.16</v>
      </c>
      <c r="H197" s="18">
        <v>1275652.53</v>
      </c>
      <c r="I197" s="18">
        <v>27467.5</v>
      </c>
      <c r="J197" s="18">
        <v>1747.58</v>
      </c>
      <c r="K197" s="18">
        <v>830</v>
      </c>
      <c r="L197" s="19">
        <f>SUM(F197:K197)</f>
        <v>7496253.8100000005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617418.56000000006</v>
      </c>
      <c r="G201" s="18">
        <v>246328.84</v>
      </c>
      <c r="H201" s="18">
        <v>1243.93</v>
      </c>
      <c r="I201" s="18">
        <v>3369.44</v>
      </c>
      <c r="J201" s="18">
        <v>272.22000000000003</v>
      </c>
      <c r="K201" s="18"/>
      <c r="L201" s="19">
        <f t="shared" ref="L201:L207" si="0">SUM(F201:K201)</f>
        <v>868632.99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359094.9</v>
      </c>
      <c r="G202" s="18">
        <v>231422.7</v>
      </c>
      <c r="H202" s="18">
        <v>126835.82</v>
      </c>
      <c r="I202" s="18">
        <v>39815.599999999999</v>
      </c>
      <c r="J202" s="18">
        <v>34613.99</v>
      </c>
      <c r="K202" s="18">
        <v>377.86</v>
      </c>
      <c r="L202" s="19">
        <f t="shared" si="0"/>
        <v>792160.87000000011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469740.58</v>
      </c>
      <c r="G203" s="18">
        <v>160883.70000000001</v>
      </c>
      <c r="H203" s="18">
        <v>145901.54</v>
      </c>
      <c r="I203" s="18">
        <v>8553.3700000000008</v>
      </c>
      <c r="J203" s="18">
        <v>1168.92</v>
      </c>
      <c r="K203" s="18">
        <v>15152.32</v>
      </c>
      <c r="L203" s="19">
        <f t="shared" si="0"/>
        <v>801400.43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1206942.24</v>
      </c>
      <c r="G204" s="18">
        <v>519453.71</v>
      </c>
      <c r="H204" s="18">
        <v>3303.5</v>
      </c>
      <c r="I204" s="18">
        <v>3778.27</v>
      </c>
      <c r="J204" s="18">
        <v>199.99</v>
      </c>
      <c r="K204" s="18">
        <v>2655</v>
      </c>
      <c r="L204" s="19">
        <f t="shared" si="0"/>
        <v>1736332.71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133415.73000000001</v>
      </c>
      <c r="G205" s="18">
        <v>51948.56</v>
      </c>
      <c r="H205" s="18">
        <v>13120.42</v>
      </c>
      <c r="I205" s="18">
        <v>1244.3900000000001</v>
      </c>
      <c r="J205" s="18"/>
      <c r="K205" s="18">
        <v>265.66000000000003</v>
      </c>
      <c r="L205" s="19">
        <f t="shared" si="0"/>
        <v>199994.76000000004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724825.68</v>
      </c>
      <c r="G206" s="18">
        <v>322381.98</v>
      </c>
      <c r="H206" s="18">
        <v>392034.58</v>
      </c>
      <c r="I206" s="18">
        <v>338788.49</v>
      </c>
      <c r="J206" s="18">
        <v>39008.06</v>
      </c>
      <c r="K206" s="18">
        <v>288.60000000000002</v>
      </c>
      <c r="L206" s="19">
        <f t="shared" si="0"/>
        <v>1817327.3900000001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620599.54</v>
      </c>
      <c r="I207" s="18"/>
      <c r="J207" s="18"/>
      <c r="K207" s="18"/>
      <c r="L207" s="19">
        <f t="shared" si="0"/>
        <v>620599.54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756.27</v>
      </c>
      <c r="H208" s="18"/>
      <c r="I208" s="18"/>
      <c r="J208" s="18"/>
      <c r="K208" s="18"/>
      <c r="L208" s="19">
        <f>SUM(F208:K208)</f>
        <v>756.27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15043302.020000001</v>
      </c>
      <c r="G210" s="41">
        <f t="shared" si="1"/>
        <v>5765816.2699999996</v>
      </c>
      <c r="H210" s="41">
        <f t="shared" si="1"/>
        <v>2680728.7599999998</v>
      </c>
      <c r="I210" s="41">
        <f t="shared" si="1"/>
        <v>638945.03</v>
      </c>
      <c r="J210" s="41">
        <f t="shared" si="1"/>
        <v>80117.87</v>
      </c>
      <c r="K210" s="41">
        <f t="shared" si="1"/>
        <v>19569.439999999999</v>
      </c>
      <c r="L210" s="41">
        <f t="shared" si="1"/>
        <v>24228479.390000001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3493052.89</v>
      </c>
      <c r="G214" s="18">
        <v>1436643.56</v>
      </c>
      <c r="H214" s="18">
        <v>50618.64</v>
      </c>
      <c r="I214" s="18">
        <v>77262.559999999998</v>
      </c>
      <c r="J214" s="18">
        <v>12307.83</v>
      </c>
      <c r="K214" s="18">
        <v>1400</v>
      </c>
      <c r="L214" s="19">
        <f>SUM(F214:K214)</f>
        <v>5071285.4799999995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1337430.8500000001</v>
      </c>
      <c r="G215" s="18">
        <v>563450.05000000005</v>
      </c>
      <c r="H215" s="18">
        <v>919406.76</v>
      </c>
      <c r="I215" s="18">
        <v>8518.2199999999993</v>
      </c>
      <c r="J215" s="18">
        <v>11840.13</v>
      </c>
      <c r="K215" s="18">
        <v>680</v>
      </c>
      <c r="L215" s="19">
        <f>SUM(F215:K215)</f>
        <v>2841326.0100000002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41099.050000000003</v>
      </c>
      <c r="G217" s="18">
        <v>8537.8799999999992</v>
      </c>
      <c r="H217" s="18">
        <v>7392.75</v>
      </c>
      <c r="I217" s="18">
        <v>2129.1</v>
      </c>
      <c r="J217" s="18">
        <v>3230.53</v>
      </c>
      <c r="K217" s="18">
        <v>5034.96</v>
      </c>
      <c r="L217" s="19">
        <f>SUM(F217:K217)</f>
        <v>67424.27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460668.73</v>
      </c>
      <c r="G219" s="18">
        <v>195560.24</v>
      </c>
      <c r="H219" s="18">
        <v>555.91999999999996</v>
      </c>
      <c r="I219" s="18">
        <v>1039.27</v>
      </c>
      <c r="J219" s="18">
        <v>131.85</v>
      </c>
      <c r="K219" s="18"/>
      <c r="L219" s="19">
        <f t="shared" ref="L219:L225" si="2">SUM(F219:K219)</f>
        <v>657956.01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182169.56</v>
      </c>
      <c r="G220" s="18">
        <v>111182.88</v>
      </c>
      <c r="H220" s="18">
        <v>61430.28</v>
      </c>
      <c r="I220" s="18">
        <v>39382.9</v>
      </c>
      <c r="J220" s="18">
        <v>16861.93</v>
      </c>
      <c r="K220" s="18">
        <v>183.01</v>
      </c>
      <c r="L220" s="19">
        <f t="shared" si="2"/>
        <v>411210.56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227509.08</v>
      </c>
      <c r="G221" s="18">
        <v>77920.67</v>
      </c>
      <c r="H221" s="18">
        <v>70664.36</v>
      </c>
      <c r="I221" s="18">
        <v>4142.6499999999996</v>
      </c>
      <c r="J221" s="18">
        <v>566.14</v>
      </c>
      <c r="K221" s="18">
        <v>7338.71</v>
      </c>
      <c r="L221" s="19">
        <f t="shared" si="2"/>
        <v>388141.61000000004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297586.46000000002</v>
      </c>
      <c r="G222" s="18">
        <v>148101.4</v>
      </c>
      <c r="H222" s="18">
        <v>1200.1099999999999</v>
      </c>
      <c r="I222" s="18">
        <v>5363.63</v>
      </c>
      <c r="J222" s="18"/>
      <c r="K222" s="18">
        <v>1947</v>
      </c>
      <c r="L222" s="19">
        <f t="shared" si="2"/>
        <v>454198.6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64617.13</v>
      </c>
      <c r="G223" s="18">
        <v>25160.2</v>
      </c>
      <c r="H223" s="18">
        <v>6354.61</v>
      </c>
      <c r="I223" s="18">
        <v>602.70000000000005</v>
      </c>
      <c r="J223" s="18"/>
      <c r="K223" s="18">
        <v>128.66999999999999</v>
      </c>
      <c r="L223" s="19">
        <f t="shared" si="2"/>
        <v>96863.31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326130.24</v>
      </c>
      <c r="G224" s="18">
        <v>168771.08</v>
      </c>
      <c r="H224" s="18">
        <v>185231.97</v>
      </c>
      <c r="I224" s="18">
        <v>194727.59</v>
      </c>
      <c r="J224" s="18">
        <v>17993.16</v>
      </c>
      <c r="K224" s="18">
        <v>140.6</v>
      </c>
      <c r="L224" s="19">
        <f t="shared" si="2"/>
        <v>892994.6399999999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569282.06999999995</v>
      </c>
      <c r="I225" s="18"/>
      <c r="J225" s="18"/>
      <c r="K225" s="18"/>
      <c r="L225" s="19">
        <f t="shared" si="2"/>
        <v>569282.06999999995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>
        <v>366.28</v>
      </c>
      <c r="H226" s="18"/>
      <c r="I226" s="18"/>
      <c r="J226" s="18"/>
      <c r="K226" s="18"/>
      <c r="L226" s="19">
        <f>SUM(F226:K226)</f>
        <v>366.28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6430263.9899999993</v>
      </c>
      <c r="G228" s="41">
        <f>SUM(G214:G227)</f>
        <v>2735694.2399999998</v>
      </c>
      <c r="H228" s="41">
        <f>SUM(H214:H227)</f>
        <v>1872137.4700000002</v>
      </c>
      <c r="I228" s="41">
        <f>SUM(I214:I227)</f>
        <v>333168.62</v>
      </c>
      <c r="J228" s="41">
        <f>SUM(J214:J227)</f>
        <v>62931.569999999992</v>
      </c>
      <c r="K228" s="41">
        <f t="shared" si="3"/>
        <v>16852.949999999997</v>
      </c>
      <c r="L228" s="41">
        <f t="shared" si="3"/>
        <v>11451048.84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4146733.9</v>
      </c>
      <c r="G232" s="18">
        <v>1633194.28</v>
      </c>
      <c r="H232" s="18">
        <v>65390.1</v>
      </c>
      <c r="I232" s="18">
        <v>84375.01</v>
      </c>
      <c r="J232" s="18">
        <v>12064.54</v>
      </c>
      <c r="K232" s="18">
        <v>28550</v>
      </c>
      <c r="L232" s="19">
        <f>SUM(F232:K232)</f>
        <v>5970307.8299999991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1289134.26</v>
      </c>
      <c r="G233" s="18">
        <v>556751.41</v>
      </c>
      <c r="H233" s="18">
        <v>944580.6</v>
      </c>
      <c r="I233" s="18">
        <v>5803.43</v>
      </c>
      <c r="J233" s="18">
        <v>12372.75</v>
      </c>
      <c r="K233" s="18">
        <v>680</v>
      </c>
      <c r="L233" s="19">
        <f>SUM(F233:K233)</f>
        <v>2809322.45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1308080.8500000001</v>
      </c>
      <c r="G234" s="18">
        <v>559642.62</v>
      </c>
      <c r="H234" s="18">
        <v>60504.67</v>
      </c>
      <c r="I234" s="18">
        <v>27372.07</v>
      </c>
      <c r="J234" s="18">
        <v>3510.4</v>
      </c>
      <c r="K234" s="18"/>
      <c r="L234" s="19">
        <f>SUM(F234:K234)</f>
        <v>1959110.61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281442.61</v>
      </c>
      <c r="G235" s="18">
        <v>64814.34</v>
      </c>
      <c r="H235" s="18">
        <v>66534.78</v>
      </c>
      <c r="I235" s="18">
        <v>19161.939999999999</v>
      </c>
      <c r="J235" s="18">
        <v>29074.75</v>
      </c>
      <c r="K235" s="18">
        <v>45314.66</v>
      </c>
      <c r="L235" s="19">
        <f>SUM(F235:K235)</f>
        <v>506343.07999999996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746977.98</v>
      </c>
      <c r="G237" s="18">
        <v>261672.75</v>
      </c>
      <c r="H237" s="18">
        <v>4570.45</v>
      </c>
      <c r="I237" s="18">
        <v>3042.08</v>
      </c>
      <c r="J237" s="18">
        <v>209.74</v>
      </c>
      <c r="K237" s="18">
        <v>355</v>
      </c>
      <c r="L237" s="19">
        <f t="shared" ref="L237:L243" si="4">SUM(F237:K237)</f>
        <v>1016827.9999999999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266446.58</v>
      </c>
      <c r="G238" s="18">
        <v>157940.15</v>
      </c>
      <c r="H238" s="18">
        <v>97722.21</v>
      </c>
      <c r="I238" s="18">
        <v>38161.339999999997</v>
      </c>
      <c r="J238" s="18">
        <v>26668.77</v>
      </c>
      <c r="K238" s="18">
        <v>291.13</v>
      </c>
      <c r="L238" s="19">
        <f t="shared" si="4"/>
        <v>587230.18000000005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472479.63+0.03</f>
        <v>472479.66000000003</v>
      </c>
      <c r="G239" s="18">
        <v>250772.02</v>
      </c>
      <c r="H239" s="18">
        <v>112911.61</v>
      </c>
      <c r="I239" s="18">
        <v>8809.1299999999992</v>
      </c>
      <c r="J239" s="18">
        <v>900.61</v>
      </c>
      <c r="K239" s="18">
        <v>11674.29</v>
      </c>
      <c r="L239" s="19">
        <f t="shared" si="4"/>
        <v>857547.32000000007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628335.81999999995</v>
      </c>
      <c r="G240" s="18">
        <v>202973.68</v>
      </c>
      <c r="H240" s="18">
        <v>20845.830000000002</v>
      </c>
      <c r="I240" s="18">
        <v>8890.92</v>
      </c>
      <c r="J240" s="18">
        <v>1210.4000000000001</v>
      </c>
      <c r="K240" s="18">
        <v>8300</v>
      </c>
      <c r="L240" s="19">
        <f t="shared" si="4"/>
        <v>870556.65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102791.77</v>
      </c>
      <c r="G241" s="18">
        <v>40024.400000000001</v>
      </c>
      <c r="H241" s="18">
        <v>10108.780000000001</v>
      </c>
      <c r="I241" s="18">
        <v>958.76</v>
      </c>
      <c r="J241" s="18"/>
      <c r="K241" s="18">
        <v>204.68</v>
      </c>
      <c r="L241" s="19">
        <f t="shared" si="4"/>
        <v>154088.39000000001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560582.89</v>
      </c>
      <c r="G242" s="18">
        <v>231662.01</v>
      </c>
      <c r="H242" s="18">
        <v>425650.68</v>
      </c>
      <c r="I242" s="18">
        <v>340639.26</v>
      </c>
      <c r="J242" s="18">
        <v>65213.73</v>
      </c>
      <c r="K242" s="18">
        <v>310.8</v>
      </c>
      <c r="L242" s="19">
        <f t="shared" si="4"/>
        <v>1624059.37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709160.06</v>
      </c>
      <c r="I243" s="18"/>
      <c r="J243" s="18"/>
      <c r="K243" s="18"/>
      <c r="L243" s="19">
        <f t="shared" si="4"/>
        <v>709160.06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>
        <v>582.67999999999995</v>
      </c>
      <c r="H244" s="18"/>
      <c r="I244" s="18"/>
      <c r="J244" s="18"/>
      <c r="K244" s="18"/>
      <c r="L244" s="19">
        <f>SUM(F244:K244)</f>
        <v>582.67999999999995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9803006.3200000003</v>
      </c>
      <c r="G246" s="41">
        <f t="shared" si="5"/>
        <v>3960030.3400000003</v>
      </c>
      <c r="H246" s="41">
        <f t="shared" si="5"/>
        <v>2517979.77</v>
      </c>
      <c r="I246" s="41">
        <f t="shared" si="5"/>
        <v>537213.94000000006</v>
      </c>
      <c r="J246" s="41">
        <f t="shared" si="5"/>
        <v>151225.69</v>
      </c>
      <c r="K246" s="41">
        <f t="shared" si="5"/>
        <v>95680.560000000012</v>
      </c>
      <c r="L246" s="41">
        <f t="shared" si="5"/>
        <v>17065136.619999997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f>5649.01+432.15+248.48+0.33</f>
        <v>6329.9699999999993</v>
      </c>
      <c r="G250" s="18"/>
      <c r="H250" s="18"/>
      <c r="I250" s="18">
        <v>142.80000000000001</v>
      </c>
      <c r="J250" s="18"/>
      <c r="K250" s="18"/>
      <c r="L250" s="19">
        <f t="shared" si="6"/>
        <v>6472.7699999999995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6329.9699999999993</v>
      </c>
      <c r="G255" s="41">
        <f t="shared" si="7"/>
        <v>0</v>
      </c>
      <c r="H255" s="41">
        <f t="shared" si="7"/>
        <v>0</v>
      </c>
      <c r="I255" s="41">
        <f t="shared" si="7"/>
        <v>142.80000000000001</v>
      </c>
      <c r="J255" s="41">
        <f t="shared" si="7"/>
        <v>0</v>
      </c>
      <c r="K255" s="41">
        <f t="shared" si="7"/>
        <v>0</v>
      </c>
      <c r="L255" s="41">
        <f>SUM(F255:K255)</f>
        <v>6472.7699999999995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31282902.300000001</v>
      </c>
      <c r="G256" s="41">
        <f t="shared" si="8"/>
        <v>12461540.85</v>
      </c>
      <c r="H256" s="41">
        <f t="shared" si="8"/>
        <v>7070846</v>
      </c>
      <c r="I256" s="41">
        <f t="shared" si="8"/>
        <v>1509470.3900000001</v>
      </c>
      <c r="J256" s="41">
        <f t="shared" si="8"/>
        <v>294275.13</v>
      </c>
      <c r="K256" s="41">
        <f t="shared" si="8"/>
        <v>132102.95000000001</v>
      </c>
      <c r="L256" s="41">
        <f t="shared" si="8"/>
        <v>52751137.620000005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1806805.5</v>
      </c>
      <c r="L259" s="19">
        <f>SUM(F259:K259)</f>
        <v>1806805.5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470154.81</v>
      </c>
      <c r="L260" s="19">
        <f>SUM(F260:K260)</f>
        <v>470154.81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2276960.31</v>
      </c>
      <c r="L269" s="41">
        <f t="shared" si="9"/>
        <v>2276960.31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31282902.300000001</v>
      </c>
      <c r="G270" s="42">
        <f t="shared" si="11"/>
        <v>12461540.85</v>
      </c>
      <c r="H270" s="42">
        <f t="shared" si="11"/>
        <v>7070846</v>
      </c>
      <c r="I270" s="42">
        <f t="shared" si="11"/>
        <v>1509470.3900000001</v>
      </c>
      <c r="J270" s="42">
        <f t="shared" si="11"/>
        <v>294275.13</v>
      </c>
      <c r="K270" s="42">
        <f t="shared" si="11"/>
        <v>2409063.2600000002</v>
      </c>
      <c r="L270" s="42">
        <f t="shared" si="11"/>
        <v>55028097.930000007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39884.639999999999</v>
      </c>
      <c r="G275" s="18">
        <v>14971.77</v>
      </c>
      <c r="H275" s="18">
        <v>3126.45</v>
      </c>
      <c r="I275" s="18">
        <v>1130.76</v>
      </c>
      <c r="J275" s="18">
        <v>1680.87</v>
      </c>
      <c r="K275" s="18"/>
      <c r="L275" s="19">
        <f>SUM(F275:K275)</f>
        <v>60794.490000000005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1147407.25-0.08</f>
        <v>1147407.17</v>
      </c>
      <c r="G276" s="18">
        <v>396907.98</v>
      </c>
      <c r="H276" s="18">
        <v>598.73</v>
      </c>
      <c r="I276" s="18">
        <v>10760.29</v>
      </c>
      <c r="J276" s="18"/>
      <c r="K276" s="18"/>
      <c r="L276" s="19">
        <f>SUM(F276:K276)</f>
        <v>1555674.17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2550.13</v>
      </c>
      <c r="G277" s="18">
        <v>482.2</v>
      </c>
      <c r="H277" s="18"/>
      <c r="I277" s="18">
        <v>1242.57</v>
      </c>
      <c r="J277" s="18"/>
      <c r="K277" s="18"/>
      <c r="L277" s="19">
        <f>SUM(F277:K277)</f>
        <v>4274.8999999999996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67180.77</v>
      </c>
      <c r="G281" s="18">
        <v>23499.56</v>
      </c>
      <c r="H281" s="18">
        <v>172898.83</v>
      </c>
      <c r="I281" s="18">
        <v>10273.92</v>
      </c>
      <c r="J281" s="18">
        <v>3517.4</v>
      </c>
      <c r="K281" s="18"/>
      <c r="L281" s="19">
        <f t="shared" si="12"/>
        <v>277370.48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76187.19</v>
      </c>
      <c r="G282" s="18">
        <v>33342.44</v>
      </c>
      <c r="H282" s="18">
        <v>136596.57999999999</v>
      </c>
      <c r="I282" s="18">
        <v>3253.15</v>
      </c>
      <c r="J282" s="18"/>
      <c r="K282" s="18">
        <v>50</v>
      </c>
      <c r="L282" s="19">
        <f t="shared" si="12"/>
        <v>249429.36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35626.85</v>
      </c>
      <c r="L284" s="19">
        <f t="shared" si="12"/>
        <v>35626.85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2505.7800000000002</v>
      </c>
      <c r="I285" s="18"/>
      <c r="J285" s="18"/>
      <c r="K285" s="18"/>
      <c r="L285" s="19">
        <f t="shared" si="12"/>
        <v>2505.7800000000002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1333209.8999999997</v>
      </c>
      <c r="G289" s="42">
        <f t="shared" si="13"/>
        <v>469203.95</v>
      </c>
      <c r="H289" s="42">
        <f t="shared" si="13"/>
        <v>315726.37</v>
      </c>
      <c r="I289" s="42">
        <f t="shared" si="13"/>
        <v>26660.690000000002</v>
      </c>
      <c r="J289" s="42">
        <f t="shared" si="13"/>
        <v>5198.2700000000004</v>
      </c>
      <c r="K289" s="42">
        <f t="shared" si="13"/>
        <v>35676.85</v>
      </c>
      <c r="L289" s="41">
        <f t="shared" si="13"/>
        <v>2185676.0299999998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19317.29</v>
      </c>
      <c r="G294" s="18">
        <v>7251.26</v>
      </c>
      <c r="H294" s="18">
        <v>1514.23</v>
      </c>
      <c r="I294" s="18">
        <v>547.66</v>
      </c>
      <c r="J294" s="18">
        <v>814.09</v>
      </c>
      <c r="K294" s="18"/>
      <c r="L294" s="19">
        <f>SUM(F294:K294)</f>
        <v>29444.530000000002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164171.67000000001</v>
      </c>
      <c r="G295" s="18">
        <v>51989.99</v>
      </c>
      <c r="H295" s="18">
        <v>289.98</v>
      </c>
      <c r="I295" s="18">
        <v>3071.44</v>
      </c>
      <c r="J295" s="18"/>
      <c r="K295" s="18"/>
      <c r="L295" s="19">
        <f>SUM(F295:K295)</f>
        <v>219523.08000000002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1235.0999999999999</v>
      </c>
      <c r="G296" s="18">
        <v>233.55</v>
      </c>
      <c r="H296" s="18"/>
      <c r="I296" s="18">
        <v>601.80999999999995</v>
      </c>
      <c r="J296" s="18"/>
      <c r="K296" s="18"/>
      <c r="L296" s="19">
        <f>SUM(F296:K296)</f>
        <v>2070.46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26174.3</v>
      </c>
      <c r="G300" s="18">
        <v>7917.44</v>
      </c>
      <c r="H300" s="18">
        <v>83739.95</v>
      </c>
      <c r="I300" s="18">
        <v>4513.41</v>
      </c>
      <c r="J300" s="18">
        <v>1703.58</v>
      </c>
      <c r="K300" s="18"/>
      <c r="L300" s="19">
        <f t="shared" si="14"/>
        <v>124048.68000000001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1780.87</v>
      </c>
      <c r="G301" s="18">
        <v>1090.8699999999999</v>
      </c>
      <c r="H301" s="18">
        <v>2279.44</v>
      </c>
      <c r="I301" s="18">
        <v>1575.6</v>
      </c>
      <c r="J301" s="18"/>
      <c r="K301" s="18"/>
      <c r="L301" s="19">
        <f t="shared" si="14"/>
        <v>6726.7800000000007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v>12454.67</v>
      </c>
      <c r="L303" s="19">
        <f t="shared" si="14"/>
        <v>12454.67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>
        <v>1213.6199999999999</v>
      </c>
      <c r="I304" s="18"/>
      <c r="J304" s="18"/>
      <c r="K304" s="18"/>
      <c r="L304" s="19">
        <f t="shared" si="14"/>
        <v>1213.6199999999999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212679.23</v>
      </c>
      <c r="G308" s="42">
        <f t="shared" si="15"/>
        <v>68483.11</v>
      </c>
      <c r="H308" s="42">
        <f t="shared" si="15"/>
        <v>89037.22</v>
      </c>
      <c r="I308" s="42">
        <f t="shared" si="15"/>
        <v>10309.92</v>
      </c>
      <c r="J308" s="42">
        <f t="shared" si="15"/>
        <v>2517.67</v>
      </c>
      <c r="K308" s="42">
        <f t="shared" si="15"/>
        <v>12454.67</v>
      </c>
      <c r="L308" s="41">
        <f t="shared" si="15"/>
        <v>395481.82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30729.599999999999</v>
      </c>
      <c r="G313" s="18">
        <v>11535.19</v>
      </c>
      <c r="H313" s="18">
        <v>2408.8200000000002</v>
      </c>
      <c r="I313" s="18">
        <v>871.21</v>
      </c>
      <c r="J313" s="18">
        <v>1295.04</v>
      </c>
      <c r="K313" s="18"/>
      <c r="L313" s="19">
        <f>SUM(F313:K313)</f>
        <v>46839.86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261161.35</v>
      </c>
      <c r="G314" s="18">
        <v>82704.740000000005</v>
      </c>
      <c r="H314" s="18">
        <v>461.3</v>
      </c>
      <c r="I314" s="18">
        <v>4886</v>
      </c>
      <c r="J314" s="18"/>
      <c r="K314" s="18"/>
      <c r="L314" s="19">
        <f>SUM(F314:K314)</f>
        <v>349213.39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1964.78</v>
      </c>
      <c r="G315" s="18">
        <v>371.52</v>
      </c>
      <c r="H315" s="18">
        <v>40604.239999999998</v>
      </c>
      <c r="I315" s="18">
        <v>10308.33</v>
      </c>
      <c r="J315" s="18">
        <v>72738.039999999994</v>
      </c>
      <c r="K315" s="18">
        <v>582</v>
      </c>
      <c r="L315" s="19">
        <f>SUM(F315:K315)</f>
        <v>126568.91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41637.599999999999</v>
      </c>
      <c r="G319" s="18">
        <v>12594.94</v>
      </c>
      <c r="H319" s="18">
        <v>133212.01999999999</v>
      </c>
      <c r="I319" s="18">
        <v>7179.86</v>
      </c>
      <c r="J319" s="18">
        <v>2710.02</v>
      </c>
      <c r="K319" s="18">
        <v>4012.95</v>
      </c>
      <c r="L319" s="19">
        <f t="shared" si="16"/>
        <v>201347.38999999998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2832.98</v>
      </c>
      <c r="G320" s="18">
        <v>1735.34</v>
      </c>
      <c r="H320" s="18">
        <v>3626.09</v>
      </c>
      <c r="I320" s="18">
        <v>2506.4299999999998</v>
      </c>
      <c r="J320" s="18"/>
      <c r="K320" s="18"/>
      <c r="L320" s="19">
        <f t="shared" si="16"/>
        <v>10700.84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v>24137.59</v>
      </c>
      <c r="L322" s="19">
        <f t="shared" si="16"/>
        <v>24137.59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>
        <v>1930.61</v>
      </c>
      <c r="I323" s="18"/>
      <c r="J323" s="18"/>
      <c r="K323" s="18"/>
      <c r="L323" s="19">
        <f t="shared" si="16"/>
        <v>1930.61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338326.31</v>
      </c>
      <c r="G327" s="42">
        <f t="shared" si="17"/>
        <v>108941.73000000001</v>
      </c>
      <c r="H327" s="42">
        <f t="shared" si="17"/>
        <v>182243.08</v>
      </c>
      <c r="I327" s="42">
        <f t="shared" si="17"/>
        <v>25751.83</v>
      </c>
      <c r="J327" s="42">
        <f t="shared" si="17"/>
        <v>76743.099999999991</v>
      </c>
      <c r="K327" s="42">
        <f t="shared" si="17"/>
        <v>28732.54</v>
      </c>
      <c r="L327" s="41">
        <f t="shared" si="17"/>
        <v>760738.59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>
        <v>1586</v>
      </c>
      <c r="I331" s="18"/>
      <c r="J331" s="18"/>
      <c r="K331" s="18"/>
      <c r="L331" s="19">
        <f t="shared" ref="L331:L336" si="18">SUM(F331:K331)</f>
        <v>1586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18085.099999999999</v>
      </c>
      <c r="G332" s="18">
        <v>1428.62</v>
      </c>
      <c r="H332" s="18"/>
      <c r="I332" s="18">
        <v>219.93</v>
      </c>
      <c r="J332" s="18"/>
      <c r="K332" s="18"/>
      <c r="L332" s="19">
        <f t="shared" si="18"/>
        <v>19733.649999999998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18085.099999999999</v>
      </c>
      <c r="G336" s="41">
        <f t="shared" si="19"/>
        <v>1428.62</v>
      </c>
      <c r="H336" s="41">
        <f t="shared" si="19"/>
        <v>1586</v>
      </c>
      <c r="I336" s="41">
        <f t="shared" si="19"/>
        <v>219.93</v>
      </c>
      <c r="J336" s="41">
        <f t="shared" si="19"/>
        <v>0</v>
      </c>
      <c r="K336" s="41">
        <f t="shared" si="19"/>
        <v>0</v>
      </c>
      <c r="L336" s="41">
        <f t="shared" si="18"/>
        <v>21319.649999999998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1902300.5399999998</v>
      </c>
      <c r="G337" s="41">
        <f t="shared" si="20"/>
        <v>648057.41</v>
      </c>
      <c r="H337" s="41">
        <f t="shared" si="20"/>
        <v>588592.66999999993</v>
      </c>
      <c r="I337" s="41">
        <f t="shared" si="20"/>
        <v>62942.37</v>
      </c>
      <c r="J337" s="41">
        <f t="shared" si="20"/>
        <v>84459.04</v>
      </c>
      <c r="K337" s="41">
        <f t="shared" si="20"/>
        <v>76864.06</v>
      </c>
      <c r="L337" s="41">
        <f t="shared" si="20"/>
        <v>3363216.0899999994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1902300.5399999998</v>
      </c>
      <c r="G351" s="41">
        <f>G337</f>
        <v>648057.41</v>
      </c>
      <c r="H351" s="41">
        <f>H337</f>
        <v>588592.66999999993</v>
      </c>
      <c r="I351" s="41">
        <f>I337</f>
        <v>62942.37</v>
      </c>
      <c r="J351" s="41">
        <f>J337</f>
        <v>84459.04</v>
      </c>
      <c r="K351" s="47">
        <f>K337+K350</f>
        <v>76864.06</v>
      </c>
      <c r="L351" s="41">
        <f>L337+L350</f>
        <v>3363216.0899999994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253059.69+2642.6</f>
        <v>255702.29</v>
      </c>
      <c r="G357" s="18">
        <f>90318.2+193.15+73.62</f>
        <v>90584.969999999987</v>
      </c>
      <c r="H357" s="18">
        <f>152145.34</f>
        <v>152145.34</v>
      </c>
      <c r="I357" s="18">
        <f>332659.97+4283+74602.83</f>
        <v>411545.8</v>
      </c>
      <c r="J357" s="18">
        <v>1572.96</v>
      </c>
      <c r="K357" s="18">
        <v>1039.04</v>
      </c>
      <c r="L357" s="13">
        <f>SUM(F357:K357)</f>
        <v>912590.39999999991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96561.89</v>
      </c>
      <c r="G358" s="18">
        <v>30703.7</v>
      </c>
      <c r="H358" s="18">
        <v>71527.45</v>
      </c>
      <c r="I358" s="18">
        <v>160070.38</v>
      </c>
      <c r="J358" s="18"/>
      <c r="K358" s="18"/>
      <c r="L358" s="19">
        <f>SUM(F358:K358)</f>
        <v>358863.42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182050.39</v>
      </c>
      <c r="G359" s="18">
        <v>49482.74</v>
      </c>
      <c r="H359" s="18">
        <v>113310.55</v>
      </c>
      <c r="I359" s="18">
        <v>254637.1</v>
      </c>
      <c r="J359" s="18">
        <v>87533.9</v>
      </c>
      <c r="K359" s="18"/>
      <c r="L359" s="19">
        <f>SUM(F359:K359)</f>
        <v>687014.68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534314.57000000007</v>
      </c>
      <c r="G361" s="47">
        <f t="shared" si="22"/>
        <v>170771.40999999997</v>
      </c>
      <c r="H361" s="47">
        <f t="shared" si="22"/>
        <v>336983.33999999997</v>
      </c>
      <c r="I361" s="47">
        <f t="shared" si="22"/>
        <v>826253.27999999991</v>
      </c>
      <c r="J361" s="47">
        <f t="shared" si="22"/>
        <v>89106.86</v>
      </c>
      <c r="K361" s="47">
        <f t="shared" si="22"/>
        <v>1039.04</v>
      </c>
      <c r="L361" s="47">
        <f t="shared" si="22"/>
        <v>1958468.5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305176.08+74602.83</f>
        <v>379778.91000000003</v>
      </c>
      <c r="G366" s="18">
        <v>147805.68</v>
      </c>
      <c r="H366" s="18">
        <v>235126.64</v>
      </c>
      <c r="I366" s="56">
        <f>SUM(F366:H366)</f>
        <v>762711.2300000001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27483.89+4283</f>
        <v>31766.89</v>
      </c>
      <c r="G367" s="63">
        <v>12264.7</v>
      </c>
      <c r="H367" s="63">
        <v>19510.46</v>
      </c>
      <c r="I367" s="56">
        <f>SUM(F367:H367)</f>
        <v>63542.049999999996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411545.80000000005</v>
      </c>
      <c r="G368" s="47">
        <f>SUM(G366:G367)</f>
        <v>160070.38</v>
      </c>
      <c r="H368" s="47">
        <f>SUM(H366:H367)</f>
        <v>254637.1</v>
      </c>
      <c r="I368" s="47">
        <f>SUM(I366:I367)</f>
        <v>826253.28000000014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111113.72</v>
      </c>
      <c r="I378" s="18"/>
      <c r="J378" s="18"/>
      <c r="K378" s="18"/>
      <c r="L378" s="13">
        <f t="shared" si="23"/>
        <v>111113.72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111113.72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111113.72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/>
      <c r="G464" s="18">
        <f>108409.61</f>
        <v>108409.61</v>
      </c>
      <c r="H464" s="18">
        <v>18575.150000000001</v>
      </c>
      <c r="I464" s="18">
        <v>111113.72</v>
      </c>
      <c r="J464" s="18"/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55356480.079999998</v>
      </c>
      <c r="G467" s="18">
        <f>84407.2+1801494.83</f>
        <v>1885902.03</v>
      </c>
      <c r="H467" s="18">
        <v>3350173.83</v>
      </c>
      <c r="I467" s="18">
        <v>1071495.6499999999</v>
      </c>
      <c r="J467" s="18"/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18689.169999999998</v>
      </c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55356480.079999998</v>
      </c>
      <c r="G469" s="53">
        <f>SUM(G467:G468)</f>
        <v>1904591.2</v>
      </c>
      <c r="H469" s="53">
        <f>SUM(H467:H468)</f>
        <v>3350173.83</v>
      </c>
      <c r="I469" s="53">
        <f>SUM(I467:I468)</f>
        <v>1071495.6499999999</v>
      </c>
      <c r="J469" s="53">
        <f>SUM(J467:J468)</f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55028097.93</v>
      </c>
      <c r="G471" s="18">
        <f>84407.2+1874061.3</f>
        <v>1958468.5</v>
      </c>
      <c r="H471" s="18">
        <v>3363216.09</v>
      </c>
      <c r="I471" s="18">
        <v>111113.72</v>
      </c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328382.15000000002</v>
      </c>
      <c r="G472" s="18">
        <v>13373.53</v>
      </c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55356480.079999998</v>
      </c>
      <c r="G473" s="53">
        <f>SUM(G471:G472)</f>
        <v>1971842.03</v>
      </c>
      <c r="H473" s="53">
        <f>SUM(H471:H472)</f>
        <v>3363216.09</v>
      </c>
      <c r="I473" s="53">
        <f>SUM(I471:I472)</f>
        <v>111113.72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0</v>
      </c>
      <c r="G475" s="53">
        <f>(G464+G469)- G473</f>
        <v>41158.780000000028</v>
      </c>
      <c r="H475" s="53">
        <f>(H464+H469)- H473</f>
        <v>5532.8900000001304</v>
      </c>
      <c r="I475" s="53">
        <f>(I464+I469)- I473</f>
        <v>1071495.6499999999</v>
      </c>
      <c r="J475" s="53">
        <f>(J464+J469)- J473</f>
        <v>0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 t="s">
        <v>909</v>
      </c>
      <c r="G489" s="154">
        <v>20</v>
      </c>
      <c r="H489" s="154">
        <v>20</v>
      </c>
      <c r="I489" s="154">
        <v>20</v>
      </c>
      <c r="J489" s="154" t="s">
        <v>909</v>
      </c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910</v>
      </c>
      <c r="H490" s="155" t="s">
        <v>911</v>
      </c>
      <c r="I490" s="155" t="s">
        <v>912</v>
      </c>
      <c r="J490" s="154" t="s">
        <v>909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913</v>
      </c>
      <c r="G491" s="155" t="s">
        <v>914</v>
      </c>
      <c r="H491" s="155" t="s">
        <v>915</v>
      </c>
      <c r="I491" s="155" t="s">
        <v>916</v>
      </c>
      <c r="J491" s="155" t="s">
        <v>917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 t="s">
        <v>909</v>
      </c>
      <c r="G492" s="18">
        <v>4704717</v>
      </c>
      <c r="H492" s="18">
        <v>3237000</v>
      </c>
      <c r="I492" s="18">
        <f>1378525+160746.89+40042.07</f>
        <v>1579313.9600000002</v>
      </c>
      <c r="J492" s="18">
        <f>1992991+888303.17</f>
        <v>2881294.17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 t="s">
        <v>909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5086758</v>
      </c>
      <c r="G494" s="18">
        <v>1726212</v>
      </c>
      <c r="H494" s="18">
        <v>1752000</v>
      </c>
      <c r="I494" s="18">
        <v>1050747</v>
      </c>
      <c r="J494" s="18">
        <v>3054155</v>
      </c>
      <c r="K494" s="53">
        <f>SUM(F494:J494)</f>
        <v>12669872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>
        <v>40042</v>
      </c>
      <c r="J495" s="18"/>
      <c r="K495" s="53">
        <f t="shared" ref="K495:K502" si="35">SUM(F495:J495)</f>
        <v>40042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3906298</v>
      </c>
      <c r="G497" s="204">
        <v>1528209</v>
      </c>
      <c r="H497" s="204">
        <v>1587000</v>
      </c>
      <c r="I497" s="204">
        <v>1005042</v>
      </c>
      <c r="J497" s="204">
        <v>2876559</v>
      </c>
      <c r="K497" s="205">
        <f t="shared" si="35"/>
        <v>10903108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368321</v>
      </c>
      <c r="G498" s="18">
        <v>115721</v>
      </c>
      <c r="H498" s="18">
        <v>362356</v>
      </c>
      <c r="I498" s="18">
        <v>130731</v>
      </c>
      <c r="J498" s="18">
        <v>920906</v>
      </c>
      <c r="K498" s="53">
        <f t="shared" si="35"/>
        <v>1898035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4274619</v>
      </c>
      <c r="G499" s="42">
        <f>SUM(G497:G498)</f>
        <v>1643930</v>
      </c>
      <c r="H499" s="42">
        <f>SUM(H497:H498)</f>
        <v>1949356</v>
      </c>
      <c r="I499" s="42">
        <f>SUM(I497:I498)</f>
        <v>1135773</v>
      </c>
      <c r="J499" s="42">
        <f>SUM(J497:J498)</f>
        <v>3797465</v>
      </c>
      <c r="K499" s="42">
        <f t="shared" si="35"/>
        <v>12801143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1180460</v>
      </c>
      <c r="G500" s="204">
        <v>196840</v>
      </c>
      <c r="H500" s="204">
        <v>160000</v>
      </c>
      <c r="I500" s="204">
        <v>102156</v>
      </c>
      <c r="J500" s="204">
        <v>174293</v>
      </c>
      <c r="K500" s="205">
        <f t="shared" si="35"/>
        <v>1813749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163912</v>
      </c>
      <c r="G501" s="18">
        <v>27688</v>
      </c>
      <c r="H501" s="18">
        <v>68829</v>
      </c>
      <c r="I501" s="18">
        <v>20325</v>
      </c>
      <c r="J501" s="18">
        <v>103242</v>
      </c>
      <c r="K501" s="53">
        <f t="shared" si="35"/>
        <v>383996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1344372</v>
      </c>
      <c r="G502" s="42">
        <f>SUM(G500:G501)</f>
        <v>224528</v>
      </c>
      <c r="H502" s="42">
        <f>SUM(H500:H501)</f>
        <v>228829</v>
      </c>
      <c r="I502" s="42">
        <f>SUM(I500:I501)</f>
        <v>122481</v>
      </c>
      <c r="J502" s="42">
        <f>SUM(J500:J501)</f>
        <v>277535</v>
      </c>
      <c r="K502" s="42">
        <f t="shared" si="35"/>
        <v>2197745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4640741.3600000003</v>
      </c>
      <c r="G520" s="18">
        <v>1531641.89</v>
      </c>
      <c r="H520" s="18">
        <v>420231.16</v>
      </c>
      <c r="I520" s="18">
        <v>27467.5</v>
      </c>
      <c r="J520" s="18">
        <v>1747.58</v>
      </c>
      <c r="K520" s="18">
        <v>830</v>
      </c>
      <c r="L520" s="88">
        <f>SUM(F520:K520)</f>
        <v>6622659.4900000002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1331553.78</v>
      </c>
      <c r="G521" s="18">
        <v>557908.67000000004</v>
      </c>
      <c r="H521" s="18">
        <v>448800.91</v>
      </c>
      <c r="I521" s="18">
        <v>8518.2199999999993</v>
      </c>
      <c r="J521" s="18">
        <v>11840.13</v>
      </c>
      <c r="K521" s="18">
        <v>680</v>
      </c>
      <c r="L521" s="88">
        <f>SUM(F521:K521)</f>
        <v>2359301.7100000004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1279785.1200000001</v>
      </c>
      <c r="G522" s="18">
        <v>547936.31999999995</v>
      </c>
      <c r="H522" s="18">
        <v>465699.47</v>
      </c>
      <c r="I522" s="18">
        <v>5803.43</v>
      </c>
      <c r="J522" s="18">
        <v>12372.75</v>
      </c>
      <c r="K522" s="18">
        <v>680</v>
      </c>
      <c r="L522" s="88">
        <f>SUM(F522:K522)</f>
        <v>2312277.0900000003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7252080.2600000007</v>
      </c>
      <c r="G523" s="108">
        <f t="shared" ref="G523:L523" si="36">SUM(G520:G522)</f>
        <v>2637486.88</v>
      </c>
      <c r="H523" s="108">
        <f t="shared" si="36"/>
        <v>1334731.54</v>
      </c>
      <c r="I523" s="108">
        <f t="shared" si="36"/>
        <v>41789.15</v>
      </c>
      <c r="J523" s="108">
        <f t="shared" si="36"/>
        <v>25960.46</v>
      </c>
      <c r="K523" s="108">
        <f t="shared" si="36"/>
        <v>2190</v>
      </c>
      <c r="L523" s="89">
        <f t="shared" si="36"/>
        <v>11294238.290000001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251159.09</v>
      </c>
      <c r="G525" s="18">
        <v>87382.23</v>
      </c>
      <c r="H525" s="18">
        <v>853677.27</v>
      </c>
      <c r="I525" s="18"/>
      <c r="J525" s="18"/>
      <c r="K525" s="18"/>
      <c r="L525" s="88">
        <f>SUM(F525:K525)</f>
        <v>1192218.5900000001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108541.55</v>
      </c>
      <c r="G526" s="18">
        <v>39798.050000000003</v>
      </c>
      <c r="H526" s="18">
        <v>469761.13</v>
      </c>
      <c r="I526" s="18"/>
      <c r="J526" s="18"/>
      <c r="K526" s="18"/>
      <c r="L526" s="88">
        <f>SUM(F526:K526)</f>
        <v>618100.73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172665.95</v>
      </c>
      <c r="G527" s="18">
        <v>63310.02</v>
      </c>
      <c r="H527" s="18">
        <v>477537.36</v>
      </c>
      <c r="I527" s="18"/>
      <c r="J527" s="18"/>
      <c r="K527" s="18"/>
      <c r="L527" s="88">
        <f>SUM(F527:K527)</f>
        <v>713513.33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532366.59000000008</v>
      </c>
      <c r="G528" s="89">
        <f t="shared" ref="G528:L528" si="37">SUM(G525:G527)</f>
        <v>190490.3</v>
      </c>
      <c r="H528" s="89">
        <f t="shared" si="37"/>
        <v>1800975.7599999998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2523832.65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191531.31</v>
      </c>
      <c r="G530" s="18">
        <v>65700.820000000007</v>
      </c>
      <c r="H530" s="18">
        <v>9083.93</v>
      </c>
      <c r="I530" s="18">
        <v>358.53</v>
      </c>
      <c r="J530" s="18"/>
      <c r="K530" s="18">
        <v>27356.21</v>
      </c>
      <c r="L530" s="88">
        <f>SUM(F530:K530)</f>
        <v>294030.80000000005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92764.2</v>
      </c>
      <c r="G531" s="18">
        <v>31820.83</v>
      </c>
      <c r="H531" s="18">
        <v>4399.6099999999997</v>
      </c>
      <c r="I531" s="18">
        <v>173.65</v>
      </c>
      <c r="J531" s="18"/>
      <c r="K531" s="18">
        <v>8448.9599999999991</v>
      </c>
      <c r="L531" s="88">
        <f>SUM(F531:K531)</f>
        <v>137607.25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147567.64000000001</v>
      </c>
      <c r="G532" s="18">
        <v>50620</v>
      </c>
      <c r="H532" s="18">
        <v>6998.83</v>
      </c>
      <c r="I532" s="18">
        <v>276.24</v>
      </c>
      <c r="J532" s="18"/>
      <c r="K532" s="18">
        <v>13440.45</v>
      </c>
      <c r="L532" s="88">
        <f>SUM(F532:K532)</f>
        <v>218903.16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431863.15</v>
      </c>
      <c r="G533" s="89">
        <f t="shared" ref="G533:L533" si="38">SUM(G530:G532)</f>
        <v>148141.65000000002</v>
      </c>
      <c r="H533" s="89">
        <f t="shared" si="38"/>
        <v>20482.370000000003</v>
      </c>
      <c r="I533" s="89">
        <f t="shared" si="38"/>
        <v>808.42</v>
      </c>
      <c r="J533" s="89">
        <f t="shared" si="38"/>
        <v>0</v>
      </c>
      <c r="K533" s="89">
        <f t="shared" si="38"/>
        <v>49245.619999999995</v>
      </c>
      <c r="L533" s="89">
        <f t="shared" si="38"/>
        <v>650541.21000000008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5257.83</v>
      </c>
      <c r="I535" s="18"/>
      <c r="J535" s="18"/>
      <c r="K535" s="18"/>
      <c r="L535" s="88">
        <f>SUM(F535:K535)</f>
        <v>5257.83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2546.52</v>
      </c>
      <c r="I536" s="18"/>
      <c r="J536" s="18"/>
      <c r="K536" s="18"/>
      <c r="L536" s="88">
        <f>SUM(F536:K536)</f>
        <v>2546.52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4050.96</v>
      </c>
      <c r="I537" s="18"/>
      <c r="J537" s="18"/>
      <c r="K537" s="18"/>
      <c r="L537" s="88">
        <f>SUM(F537:K537)</f>
        <v>4050.96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11855.310000000001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11855.310000000001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274">
        <v>210701.14</v>
      </c>
      <c r="I540" s="18"/>
      <c r="J540" s="18"/>
      <c r="K540" s="18"/>
      <c r="L540" s="88">
        <f>SUM(F540:K540)</f>
        <v>210701.14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274">
        <v>361166.72</v>
      </c>
      <c r="I541" s="18"/>
      <c r="J541" s="18"/>
      <c r="K541" s="18"/>
      <c r="L541" s="88">
        <f>SUM(F541:K541)</f>
        <v>361166.72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274">
        <v>281222.86</v>
      </c>
      <c r="I542" s="18"/>
      <c r="J542" s="18"/>
      <c r="K542" s="18"/>
      <c r="L542" s="88">
        <f>SUM(F542:K542)</f>
        <v>281222.86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853090.72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853090.72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8216310.0000000009</v>
      </c>
      <c r="G544" s="89">
        <f t="shared" ref="G544:L544" si="41">G523+G528+G533+G538+G543</f>
        <v>2976118.8299999996</v>
      </c>
      <c r="H544" s="89">
        <f t="shared" si="41"/>
        <v>4021135.7</v>
      </c>
      <c r="I544" s="89">
        <f t="shared" si="41"/>
        <v>42597.57</v>
      </c>
      <c r="J544" s="89">
        <f t="shared" si="41"/>
        <v>25960.46</v>
      </c>
      <c r="K544" s="89">
        <f t="shared" si="41"/>
        <v>51435.619999999995</v>
      </c>
      <c r="L544" s="89">
        <f t="shared" si="41"/>
        <v>15333558.180000003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6622659.4900000002</v>
      </c>
      <c r="G548" s="87">
        <f>L525</f>
        <v>1192218.5900000001</v>
      </c>
      <c r="H548" s="87">
        <f>L530</f>
        <v>294030.80000000005</v>
      </c>
      <c r="I548" s="87">
        <f>L535</f>
        <v>5257.83</v>
      </c>
      <c r="J548" s="87">
        <f>L540</f>
        <v>210701.14</v>
      </c>
      <c r="K548" s="87">
        <f>SUM(F548:J548)</f>
        <v>8324867.8499999996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2359301.7100000004</v>
      </c>
      <c r="G549" s="87">
        <f>L526</f>
        <v>618100.73</v>
      </c>
      <c r="H549" s="87">
        <f>L531</f>
        <v>137607.25</v>
      </c>
      <c r="I549" s="87">
        <f>L536</f>
        <v>2546.52</v>
      </c>
      <c r="J549" s="87">
        <f>L541</f>
        <v>361166.72</v>
      </c>
      <c r="K549" s="87">
        <f>SUM(F549:J549)</f>
        <v>3478722.9300000006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2312277.0900000003</v>
      </c>
      <c r="G550" s="87">
        <f>L527</f>
        <v>713513.33</v>
      </c>
      <c r="H550" s="87">
        <f>L532</f>
        <v>218903.16</v>
      </c>
      <c r="I550" s="87">
        <f>L537</f>
        <v>4050.96</v>
      </c>
      <c r="J550" s="87">
        <f>L542</f>
        <v>281222.86</v>
      </c>
      <c r="K550" s="87">
        <f>SUM(F550:J550)</f>
        <v>3529967.4000000004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11294238.290000001</v>
      </c>
      <c r="G551" s="89">
        <f t="shared" si="42"/>
        <v>2523832.65</v>
      </c>
      <c r="H551" s="89">
        <f t="shared" si="42"/>
        <v>650541.21000000008</v>
      </c>
      <c r="I551" s="89">
        <f t="shared" si="42"/>
        <v>11855.310000000001</v>
      </c>
      <c r="J551" s="89">
        <f t="shared" si="42"/>
        <v>853090.72</v>
      </c>
      <c r="K551" s="89">
        <f t="shared" si="42"/>
        <v>15333558.180000002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862017.88</v>
      </c>
      <c r="G556" s="18">
        <v>322211.31</v>
      </c>
      <c r="H556" s="18">
        <v>131890.20000000001</v>
      </c>
      <c r="I556" s="18">
        <v>5373.66</v>
      </c>
      <c r="J556" s="18"/>
      <c r="K556" s="18">
        <v>9961.5499999999993</v>
      </c>
      <c r="L556" s="88">
        <f>SUM(F556:K556)</f>
        <v>1331454.5999999999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862017.88</v>
      </c>
      <c r="G559" s="108">
        <f t="shared" si="43"/>
        <v>322211.31</v>
      </c>
      <c r="H559" s="108">
        <f t="shared" si="43"/>
        <v>131890.20000000001</v>
      </c>
      <c r="I559" s="108">
        <f t="shared" si="43"/>
        <v>5373.66</v>
      </c>
      <c r="J559" s="108">
        <f t="shared" si="43"/>
        <v>0</v>
      </c>
      <c r="K559" s="108">
        <f t="shared" si="43"/>
        <v>9961.5499999999993</v>
      </c>
      <c r="L559" s="89">
        <f t="shared" si="43"/>
        <v>1331454.5999999999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2300</v>
      </c>
      <c r="G561" s="18">
        <v>363.77</v>
      </c>
      <c r="H561" s="18">
        <v>263.5</v>
      </c>
      <c r="I561" s="18">
        <v>1189.48</v>
      </c>
      <c r="J561" s="18">
        <v>3790</v>
      </c>
      <c r="K561" s="18"/>
      <c r="L561" s="88">
        <f>SUM(F561:K561)</f>
        <v>7906.75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2300</v>
      </c>
      <c r="G564" s="89">
        <f t="shared" si="44"/>
        <v>363.77</v>
      </c>
      <c r="H564" s="89">
        <f t="shared" si="44"/>
        <v>263.5</v>
      </c>
      <c r="I564" s="89">
        <f t="shared" si="44"/>
        <v>1189.48</v>
      </c>
      <c r="J564" s="89">
        <f t="shared" si="44"/>
        <v>3790</v>
      </c>
      <c r="K564" s="89">
        <f t="shared" si="44"/>
        <v>0</v>
      </c>
      <c r="L564" s="89">
        <f t="shared" si="44"/>
        <v>7906.75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864317.88</v>
      </c>
      <c r="G570" s="89">
        <f t="shared" ref="G570:L570" si="46">G559+G564+G569</f>
        <v>322575.08</v>
      </c>
      <c r="H570" s="89">
        <f t="shared" si="46"/>
        <v>132153.70000000001</v>
      </c>
      <c r="I570" s="89">
        <f t="shared" si="46"/>
        <v>6563.1399999999994</v>
      </c>
      <c r="J570" s="89">
        <f t="shared" si="46"/>
        <v>3790</v>
      </c>
      <c r="K570" s="89">
        <f t="shared" si="46"/>
        <v>9961.5499999999993</v>
      </c>
      <c r="L570" s="89">
        <f t="shared" si="46"/>
        <v>1339361.3499999999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144477.97</v>
      </c>
      <c r="G578" s="18">
        <v>43553.86</v>
      </c>
      <c r="H578" s="18">
        <v>21446.16</v>
      </c>
      <c r="I578" s="87">
        <f t="shared" si="47"/>
        <v>209477.99000000002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256453.9</v>
      </c>
      <c r="G581" s="18">
        <v>404181.27</v>
      </c>
      <c r="H581" s="18">
        <f>415999.77+26156.47</f>
        <v>442156.24</v>
      </c>
      <c r="I581" s="87">
        <f t="shared" si="47"/>
        <v>1102791.4100000001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31018.02</v>
      </c>
      <c r="I583" s="87">
        <f t="shared" si="47"/>
        <v>31018.02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409898.4</v>
      </c>
      <c r="I590" s="18">
        <v>198525.76</v>
      </c>
      <c r="J590" s="18">
        <v>315811.23</v>
      </c>
      <c r="K590" s="104">
        <f t="shared" ref="K590:K596" si="48">SUM(H590:J590)</f>
        <v>924235.39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210701.14</v>
      </c>
      <c r="I591" s="18">
        <v>361166.72</v>
      </c>
      <c r="J591" s="18">
        <v>281222.86</v>
      </c>
      <c r="K591" s="104">
        <f t="shared" si="48"/>
        <v>853090.72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26758.799999999999</v>
      </c>
      <c r="K592" s="104">
        <f t="shared" si="48"/>
        <v>26758.799999999999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6925.47</v>
      </c>
      <c r="J593" s="18">
        <v>78767.3</v>
      </c>
      <c r="K593" s="104">
        <f t="shared" si="48"/>
        <v>85692.77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2664.12</v>
      </c>
      <c r="J594" s="18">
        <v>6599.87</v>
      </c>
      <c r="K594" s="104">
        <f t="shared" si="48"/>
        <v>9263.99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620599.54</v>
      </c>
      <c r="I597" s="108">
        <f>SUM(I590:I596)</f>
        <v>569282.06999999995</v>
      </c>
      <c r="J597" s="108">
        <f>SUM(J590:J596)</f>
        <v>709160.06</v>
      </c>
      <c r="K597" s="108">
        <f>SUM(K590:K596)</f>
        <v>1899041.67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105407.64-1572.96</f>
        <v>103834.68</v>
      </c>
      <c r="I603" s="18">
        <v>71844.33</v>
      </c>
      <c r="J603" s="18">
        <v>203055.16</v>
      </c>
      <c r="K603" s="104">
        <f>SUM(H603:J603)</f>
        <v>378734.17000000004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103834.68</v>
      </c>
      <c r="I604" s="108">
        <f>SUM(I601:I603)</f>
        <v>71844.33</v>
      </c>
      <c r="J604" s="108">
        <f>SUM(J601:J603)</f>
        <v>203055.16</v>
      </c>
      <c r="K604" s="108">
        <f>SUM(K601:K603)</f>
        <v>378734.17000000004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11726.44</v>
      </c>
      <c r="G611" s="18">
        <v>1709.65</v>
      </c>
      <c r="H611" s="18"/>
      <c r="I611" s="18"/>
      <c r="J611" s="18"/>
      <c r="K611" s="18"/>
      <c r="L611" s="88">
        <f>SUM(F611:K611)</f>
        <v>13436.09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17089.16</v>
      </c>
      <c r="G612" s="18">
        <v>3360.42</v>
      </c>
      <c r="H612" s="18"/>
      <c r="I612" s="18"/>
      <c r="J612" s="18"/>
      <c r="K612" s="18"/>
      <c r="L612" s="88">
        <f>SUM(F612:K612)</f>
        <v>20449.580000000002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28815.599999999999</v>
      </c>
      <c r="G613" s="108">
        <f t="shared" si="49"/>
        <v>5070.07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33885.67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0</v>
      </c>
      <c r="H616" s="109">
        <f>SUM(F51)</f>
        <v>0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144738.5</v>
      </c>
      <c r="H617" s="109">
        <f>SUM(G51)</f>
        <v>144738.5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524483.13</v>
      </c>
      <c r="H618" s="109">
        <f>SUM(H51)</f>
        <v>524483.13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1071495.6499999999</v>
      </c>
      <c r="H619" s="109">
        <f>SUM(I51)</f>
        <v>1071495.6499999999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0</v>
      </c>
      <c r="H621" s="109">
        <f>F475</f>
        <v>0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41158.78</v>
      </c>
      <c r="H622" s="109">
        <f>G475</f>
        <v>41158.780000000028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5532.89</v>
      </c>
      <c r="H623" s="109">
        <f>H475</f>
        <v>5532.8900000001304</v>
      </c>
      <c r="I623" s="121" t="s">
        <v>103</v>
      </c>
      <c r="J623" s="109">
        <f t="shared" si="50"/>
        <v>-1.3005774235352874E-10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1071495.6499999999</v>
      </c>
      <c r="H624" s="109">
        <f>I475</f>
        <v>1071495.6499999999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55356480.079999998</v>
      </c>
      <c r="H626" s="104">
        <f>SUM(F467)</f>
        <v>55356480.079999998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1885902.0299999998</v>
      </c>
      <c r="H627" s="104">
        <f>SUM(G467)</f>
        <v>1885902.03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3350173.8299999996</v>
      </c>
      <c r="H628" s="104">
        <f>SUM(H467)</f>
        <v>3350173.83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1071495.6499999999</v>
      </c>
      <c r="H629" s="104">
        <f>SUM(I467)</f>
        <v>1071495.6499999999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55028097.930000007</v>
      </c>
      <c r="H631" s="104">
        <f>SUM(F471)</f>
        <v>55028097.93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3363216.0899999994</v>
      </c>
      <c r="H632" s="104">
        <f>SUM(H471)</f>
        <v>3363216.09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826253.27999999991</v>
      </c>
      <c r="H633" s="104">
        <f>I368</f>
        <v>826253.28000000014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1958468.5</v>
      </c>
      <c r="H634" s="104">
        <f>SUM(G471)</f>
        <v>1958468.5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111113.72</v>
      </c>
      <c r="H635" s="104">
        <f>SUM(I471)</f>
        <v>111113.72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1899041.67</v>
      </c>
      <c r="H646" s="104">
        <f>L207+L225+L243</f>
        <v>1899041.67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378734.17000000004</v>
      </c>
      <c r="H647" s="104">
        <f>(J256+J337)-(J254+J335)</f>
        <v>378734.17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620599.54</v>
      </c>
      <c r="H648" s="104">
        <f>H597</f>
        <v>620599.54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569282.06999999995</v>
      </c>
      <c r="H649" s="104">
        <f>I597</f>
        <v>569282.06999999995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709160.06</v>
      </c>
      <c r="H650" s="104">
        <f>J597</f>
        <v>709160.06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27326745.82</v>
      </c>
      <c r="G659" s="19">
        <f>(L228+L308+L358)</f>
        <v>12205394.08</v>
      </c>
      <c r="H659" s="19">
        <f>(L246+L327+L359)</f>
        <v>18512889.889999997</v>
      </c>
      <c r="I659" s="19">
        <f>SUM(F659:H659)</f>
        <v>58045029.789999992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350659.57091736927</v>
      </c>
      <c r="G660" s="19">
        <f>(L358/IF(SUM(L357:L359)=0,1,SUM(L357:L359))*(SUM(G96:G109)))</f>
        <v>137891.97527734208</v>
      </c>
      <c r="H660" s="19">
        <f>(L359/IF(SUM(L357:L359)=0,1,SUM(L357:L359))*(SUM(G96:G109)))</f>
        <v>263982.91380528855</v>
      </c>
      <c r="I660" s="19">
        <f>SUM(F660:H660)</f>
        <v>752534.46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620599.54</v>
      </c>
      <c r="G661" s="19">
        <f>(L225+L305)-(J225+J305)</f>
        <v>569282.06999999995</v>
      </c>
      <c r="H661" s="19">
        <f>(L243+L324)-(J243+J324)</f>
        <v>709160.06</v>
      </c>
      <c r="I661" s="19">
        <f>SUM(F661:H661)</f>
        <v>1899041.67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504766.55</v>
      </c>
      <c r="G662" s="199">
        <f>SUM(G574:G586)+SUM(I601:I603)+L611</f>
        <v>533015.55000000005</v>
      </c>
      <c r="H662" s="199">
        <f>SUM(H574:H586)+SUM(J601:J603)+L612</f>
        <v>718125.15999999992</v>
      </c>
      <c r="I662" s="19">
        <f>SUM(F662:H662)</f>
        <v>1755907.26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25850720.159082633</v>
      </c>
      <c r="G663" s="19">
        <f>G659-SUM(G660:G662)</f>
        <v>10965204.484722659</v>
      </c>
      <c r="H663" s="19">
        <f>H659-SUM(H660:H662)</f>
        <v>16821621.756194707</v>
      </c>
      <c r="I663" s="19">
        <f>I659-SUM(I660:I662)</f>
        <v>53637546.399999991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1938.56</v>
      </c>
      <c r="G664" s="248">
        <v>938.01</v>
      </c>
      <c r="H664" s="248">
        <v>1493.45</v>
      </c>
      <c r="I664" s="19">
        <f>SUM(F664:H664)</f>
        <v>4370.0199999999995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13335.01</v>
      </c>
      <c r="G666" s="19">
        <f>ROUND(G663/G664,2)</f>
        <v>11689.86</v>
      </c>
      <c r="H666" s="19">
        <f>ROUND(H663/H664,2)</f>
        <v>11263.6</v>
      </c>
      <c r="I666" s="19">
        <f>ROUND(I663/I664,2)</f>
        <v>12273.98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-2.71</v>
      </c>
      <c r="I669" s="19">
        <f>SUM(F669:H669)</f>
        <v>-2.71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13335.01</v>
      </c>
      <c r="G671" s="19">
        <f>ROUND((G663+G668)/(G664+G669),2)</f>
        <v>11689.86</v>
      </c>
      <c r="H671" s="19">
        <f>ROUND((H663+H668)/(H664+H669),2)</f>
        <v>11284.07</v>
      </c>
      <c r="I671" s="19">
        <f>ROUND((I663+I668)/(I664+I669),2)</f>
        <v>12281.6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Rochester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14613725.609999999</v>
      </c>
      <c r="C9" s="229">
        <f>'DOE25'!G196+'DOE25'!G214+'DOE25'!G232+'DOE25'!G275+'DOE25'!G294+'DOE25'!G313</f>
        <v>5793537.4100000001</v>
      </c>
    </row>
    <row r="10" spans="1:3" x14ac:dyDescent="0.2">
      <c r="A10" t="s">
        <v>779</v>
      </c>
      <c r="B10" s="240">
        <f>163890.57+6191345.95+3256410.47+3796961.78+86868.55-0.02</f>
        <v>13495477.300000001</v>
      </c>
      <c r="C10" s="240">
        <f>16135.3+410.48+19.6+6568.94+9740.1+18519.64+695063.43+366546.14+411694.11+955485.64+47416.01+2959630.23+43604.87</f>
        <v>5530834.4899999993</v>
      </c>
    </row>
    <row r="11" spans="1:3" x14ac:dyDescent="0.2">
      <c r="A11" t="s">
        <v>780</v>
      </c>
      <c r="B11" s="240">
        <f>13875.6+411319.96+56463.54+119407.4+1525</f>
        <v>602591.5</v>
      </c>
      <c r="C11" s="240">
        <f>1805.65+82.52+14381.42+46098.25+1975.67+123317.93+1816.87+32903.07</f>
        <v>222381.38</v>
      </c>
    </row>
    <row r="12" spans="1:3" x14ac:dyDescent="0.2">
      <c r="A12" t="s">
        <v>781</v>
      </c>
      <c r="B12" s="240">
        <f>6790+199490.71+140536.22+15855.59+151446.29+1538</f>
        <v>515656.81000000006</v>
      </c>
      <c r="C12" s="240">
        <f>39447.75+873.79</f>
        <v>40321.54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14613725.610000001</v>
      </c>
      <c r="C13" s="231">
        <f>SUM(C10:C12)</f>
        <v>5793537.4099999992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8847162.3399999999</v>
      </c>
      <c r="C18" s="229">
        <f>'DOE25'!G197+'DOE25'!G215+'DOE25'!G233+'DOE25'!G276+'DOE25'!G295+'DOE25'!G314</f>
        <v>3194503.3300000005</v>
      </c>
    </row>
    <row r="19" spans="1:3" x14ac:dyDescent="0.2">
      <c r="A19" t="s">
        <v>779</v>
      </c>
      <c r="B19" s="240">
        <f>40533.78+201280+3100976.17+807002.13+672112.39+514851.35+683035.94-0.09</f>
        <v>6019791.6699999999</v>
      </c>
      <c r="C19" s="240">
        <f>3100.86+116.81+52692.4+3549.04+460514.06+2138.85+155.14+222559.13+1846.84+94.49+2138.85+155.14+53132.81+757.35+36.17+1042.54+564506.79+757.35+36.17+11361.2+652.6+12886.46+4076.49+243.78+4527.56+5255.78+243.4+4393.33+345325.44+91077.49+75968.44+37864.16+600607.49+0.11</f>
        <v>2563814.52</v>
      </c>
    </row>
    <row r="20" spans="1:3" x14ac:dyDescent="0.2">
      <c r="A20" t="s">
        <v>780</v>
      </c>
      <c r="B20" s="240">
        <f>35113.73+1167087.96+84619.75+375117.22+491554.51+226380.89+116304.22</f>
        <v>2496178.2800000003</v>
      </c>
      <c r="C20" s="240">
        <f>4381.65+190957.64-44+3435+62773.09+230573.2+10386.39+16189.82+12961.68+77000</f>
        <v>608614.47000000009</v>
      </c>
    </row>
    <row r="21" spans="1:3" x14ac:dyDescent="0.2">
      <c r="A21" t="s">
        <v>781</v>
      </c>
      <c r="B21" s="240">
        <f>26440.32+145915.49+27798.84+17348.11+50680.52+14133.73+16707.5+23067.88+9100</f>
        <v>331192.39</v>
      </c>
      <c r="C21" s="240">
        <v>22074.34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8847162.3399999999</v>
      </c>
      <c r="C22" s="231">
        <f>SUM(C19:C21)</f>
        <v>3194503.33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1313830.8600000001</v>
      </c>
      <c r="C27" s="234">
        <f>'DOE25'!G198+'DOE25'!G216+'DOE25'!G234+'DOE25'!G277+'DOE25'!G296+'DOE25'!G315</f>
        <v>560729.89</v>
      </c>
    </row>
    <row r="28" spans="1:3" x14ac:dyDescent="0.2">
      <c r="A28" t="s">
        <v>779</v>
      </c>
      <c r="B28" s="240">
        <f>1198870.62+5750.01</f>
        <v>1204620.6300000001</v>
      </c>
      <c r="C28" s="240">
        <f>437.53+649.75+334053.82+3688.07+195.3+135156.27+83101.55-0.01-4906.97</f>
        <v>552375.31000000006</v>
      </c>
    </row>
    <row r="29" spans="1:3" x14ac:dyDescent="0.2">
      <c r="A29" t="s">
        <v>780</v>
      </c>
      <c r="B29" s="240">
        <v>64143.45</v>
      </c>
      <c r="C29" s="240">
        <v>4906.97</v>
      </c>
    </row>
    <row r="30" spans="1:3" x14ac:dyDescent="0.2">
      <c r="A30" t="s">
        <v>781</v>
      </c>
      <c r="B30" s="240">
        <v>45066.78</v>
      </c>
      <c r="C30" s="240">
        <v>3447.61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1313830.8600000001</v>
      </c>
      <c r="C31" s="231">
        <f>SUM(C28:C30)</f>
        <v>560729.89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322541.65999999997</v>
      </c>
      <c r="C36" s="235">
        <f>'DOE25'!G199+'DOE25'!G217+'DOE25'!G235+'DOE25'!G278+'DOE25'!G297+'DOE25'!G316</f>
        <v>73352.22</v>
      </c>
    </row>
    <row r="37" spans="1:3" x14ac:dyDescent="0.2">
      <c r="A37" t="s">
        <v>779</v>
      </c>
      <c r="B37" s="240">
        <f>196371.4+11726.44+17089.16</f>
        <v>225187</v>
      </c>
      <c r="C37" s="240">
        <f>22189.97+15022.41+19157.06+190.58+90.59+897.08+754.17+58.4+1307.3+1931.08+122.04</f>
        <v>61720.680000000008</v>
      </c>
    </row>
    <row r="38" spans="1:3" x14ac:dyDescent="0.2">
      <c r="A38" t="s">
        <v>780</v>
      </c>
      <c r="B38" s="240">
        <v>0</v>
      </c>
      <c r="C38" s="240"/>
    </row>
    <row r="39" spans="1:3" x14ac:dyDescent="0.2">
      <c r="A39" t="s">
        <v>781</v>
      </c>
      <c r="B39" s="240">
        <f>74907.3+22447.36</f>
        <v>97354.66</v>
      </c>
      <c r="C39" s="240">
        <f>1872.22+608.36+7981.15+1169.81</f>
        <v>11631.539999999999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322541.66000000003</v>
      </c>
      <c r="C40" s="231">
        <f>SUM(C37:C39)</f>
        <v>73352.22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FY2012-2013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Rochester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36616394.159999996</v>
      </c>
      <c r="D5" s="20">
        <f>SUM('DOE25'!L196:L199)+SUM('DOE25'!L214:L217)+SUM('DOE25'!L232:L235)-F5-G5</f>
        <v>36444648.920000002</v>
      </c>
      <c r="E5" s="243"/>
      <c r="F5" s="255">
        <f>SUM('DOE25'!J196:J199)+SUM('DOE25'!J214:J217)+SUM('DOE25'!J232:J235)</f>
        <v>89255.62</v>
      </c>
      <c r="G5" s="53">
        <f>SUM('DOE25'!K196:K199)+SUM('DOE25'!K214:K217)+SUM('DOE25'!K232:K235)</f>
        <v>82489.62000000001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2543417</v>
      </c>
      <c r="D6" s="20">
        <f>'DOE25'!L201+'DOE25'!L219+'DOE25'!L237-F6-G6</f>
        <v>2542448.19</v>
      </c>
      <c r="E6" s="243"/>
      <c r="F6" s="255">
        <f>'DOE25'!J201+'DOE25'!J219+'DOE25'!J237</f>
        <v>613.81000000000006</v>
      </c>
      <c r="G6" s="53">
        <f>'DOE25'!K201+'DOE25'!K219+'DOE25'!K237</f>
        <v>355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1790601.6100000003</v>
      </c>
      <c r="D7" s="20">
        <f>'DOE25'!L202+'DOE25'!L220+'DOE25'!L238-F7-G7</f>
        <v>1711604.9200000004</v>
      </c>
      <c r="E7" s="243"/>
      <c r="F7" s="255">
        <f>'DOE25'!J202+'DOE25'!J220+'DOE25'!J238</f>
        <v>78144.69</v>
      </c>
      <c r="G7" s="53">
        <f>'DOE25'!K202+'DOE25'!K220+'DOE25'!K238</f>
        <v>852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1607482.68</v>
      </c>
      <c r="D8" s="243"/>
      <c r="E8" s="20">
        <f>'DOE25'!L203+'DOE25'!L221+'DOE25'!L239-F8-G8-D9-D11</f>
        <v>1570681.69</v>
      </c>
      <c r="F8" s="255">
        <f>'DOE25'!J203+'DOE25'!J221+'DOE25'!J239</f>
        <v>2635.67</v>
      </c>
      <c r="G8" s="53">
        <f>'DOE25'!K203+'DOE25'!K221+'DOE25'!K239</f>
        <v>34165.32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194435.8</v>
      </c>
      <c r="D9" s="244">
        <v>194435.8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5488.57</v>
      </c>
      <c r="D10" s="243"/>
      <c r="E10" s="244">
        <v>5488.57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245170.88</v>
      </c>
      <c r="D11" s="244">
        <v>245170.88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3061087.96</v>
      </c>
      <c r="D12" s="20">
        <f>'DOE25'!L204+'DOE25'!L222+'DOE25'!L240-F12-G12</f>
        <v>3046775.57</v>
      </c>
      <c r="E12" s="243"/>
      <c r="F12" s="255">
        <f>'DOE25'!J204+'DOE25'!J222+'DOE25'!J240</f>
        <v>1410.39</v>
      </c>
      <c r="G12" s="53">
        <f>'DOE25'!K204+'DOE25'!K222+'DOE25'!K240</f>
        <v>12902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450946.46000000008</v>
      </c>
      <c r="D13" s="243"/>
      <c r="E13" s="20">
        <f>'DOE25'!L205+'DOE25'!L223+'DOE25'!L241-F13-G13</f>
        <v>450347.45000000007</v>
      </c>
      <c r="F13" s="255">
        <f>'DOE25'!J205+'DOE25'!J223+'DOE25'!J241</f>
        <v>0</v>
      </c>
      <c r="G13" s="53">
        <f>'DOE25'!K205+'DOE25'!K223+'DOE25'!K241</f>
        <v>599.01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4334381.4000000004</v>
      </c>
      <c r="D14" s="20">
        <f>'DOE25'!L206+'DOE25'!L224+'DOE25'!L242-F14-G14</f>
        <v>4211426.45</v>
      </c>
      <c r="E14" s="243"/>
      <c r="F14" s="255">
        <f>'DOE25'!J206+'DOE25'!J224+'DOE25'!J242</f>
        <v>122214.95000000001</v>
      </c>
      <c r="G14" s="53">
        <f>'DOE25'!K206+'DOE25'!K224+'DOE25'!K242</f>
        <v>740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1899041.67</v>
      </c>
      <c r="D15" s="20">
        <f>'DOE25'!L207+'DOE25'!L225+'DOE25'!L243-F15-G15</f>
        <v>1899041.67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1705.23</v>
      </c>
      <c r="D16" s="243"/>
      <c r="E16" s="20">
        <f>'DOE25'!L208+'DOE25'!L226+'DOE25'!L244-F16-G16</f>
        <v>1705.23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6472.7699999999995</v>
      </c>
      <c r="D17" s="20">
        <f>'DOE25'!L250-F17-G17</f>
        <v>6472.7699999999995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2276960.31</v>
      </c>
      <c r="D25" s="243"/>
      <c r="E25" s="243"/>
      <c r="F25" s="258"/>
      <c r="G25" s="256"/>
      <c r="H25" s="257">
        <f>'DOE25'!L259+'DOE25'!L260+'DOE25'!L340+'DOE25'!L341</f>
        <v>2276960.31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1195757.27</v>
      </c>
      <c r="D29" s="20">
        <f>'DOE25'!L357+'DOE25'!L358+'DOE25'!L359-'DOE25'!I366-F29-G29</f>
        <v>1105611.3699999999</v>
      </c>
      <c r="E29" s="243"/>
      <c r="F29" s="255">
        <f>'DOE25'!J357+'DOE25'!J358+'DOE25'!J359</f>
        <v>89106.86</v>
      </c>
      <c r="G29" s="53">
        <f>'DOE25'!K357+'DOE25'!K358+'DOE25'!K359</f>
        <v>1039.04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3361630.0899999994</v>
      </c>
      <c r="D31" s="20">
        <f>'DOE25'!L289+'DOE25'!L308+'DOE25'!L327+'DOE25'!L332+'DOE25'!L333+'DOE25'!L334-F31-G31</f>
        <v>3200306.9899999993</v>
      </c>
      <c r="E31" s="243"/>
      <c r="F31" s="255">
        <f>'DOE25'!J289+'DOE25'!J308+'DOE25'!J327+'DOE25'!J332+'DOE25'!J333+'DOE25'!J334</f>
        <v>84459.04</v>
      </c>
      <c r="G31" s="53">
        <f>'DOE25'!K289+'DOE25'!K308+'DOE25'!K327+'DOE25'!K332+'DOE25'!K333+'DOE25'!K334</f>
        <v>76864.06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54607943.530000009</v>
      </c>
      <c r="E33" s="246">
        <f>SUM(E5:E31)</f>
        <v>2028222.94</v>
      </c>
      <c r="F33" s="246">
        <f>SUM(F5:F31)</f>
        <v>467841.02999999997</v>
      </c>
      <c r="G33" s="246">
        <f>SUM(G5:G31)</f>
        <v>210006.05000000002</v>
      </c>
      <c r="H33" s="246">
        <f>SUM(H5:H31)</f>
        <v>2276960.31</v>
      </c>
    </row>
    <row r="35" spans="2:8" ht="12" thickBot="1" x14ac:dyDescent="0.25">
      <c r="B35" s="253" t="s">
        <v>847</v>
      </c>
      <c r="D35" s="254">
        <f>E33</f>
        <v>2028222.94</v>
      </c>
      <c r="E35" s="249"/>
    </row>
    <row r="36" spans="2:8" ht="12" thickTop="1" x14ac:dyDescent="0.2">
      <c r="B36" t="s">
        <v>815</v>
      </c>
      <c r="D36" s="20">
        <f>D33</f>
        <v>54607943.530000009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44" activePane="bottomLeft" state="frozen"/>
      <selection pane="bottomLeft" activeCell="E171" sqref="E17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Rochester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1071495.6499999999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524483.13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126049.33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18689.169999999998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144738.5</v>
      </c>
      <c r="E18" s="41">
        <f>SUM(E8:E17)</f>
        <v>524483.13</v>
      </c>
      <c r="F18" s="41">
        <f>SUM(F8:F17)</f>
        <v>1071495.6499999999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48351.020000000004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55228.7</v>
      </c>
      <c r="E23" s="95">
        <f>'DOE25'!H24</f>
        <v>518950.24000000005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103579.72</v>
      </c>
      <c r="E31" s="41">
        <f>SUM(E21:E30)</f>
        <v>518950.24000000005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18689.169999999998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544822.80000000005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22469.61</v>
      </c>
      <c r="E46" s="95">
        <f>'DOE25'!H47</f>
        <v>5532.89</v>
      </c>
      <c r="F46" s="95">
        <f>'DOE25'!I47</f>
        <v>526672.85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0</v>
      </c>
      <c r="D49" s="41">
        <f>SUM(D34:D48)</f>
        <v>41158.78</v>
      </c>
      <c r="E49" s="41">
        <f>SUM(E34:E48)</f>
        <v>5532.89</v>
      </c>
      <c r="F49" s="41">
        <f>SUM(F34:F48)</f>
        <v>1071495.6499999999</v>
      </c>
      <c r="G49" s="41">
        <f>SUM(G34:G48)</f>
        <v>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0</v>
      </c>
      <c r="D50" s="41">
        <f>D49+D31</f>
        <v>144738.5</v>
      </c>
      <c r="E50" s="41">
        <f>E49+E31</f>
        <v>524483.13</v>
      </c>
      <c r="F50" s="41">
        <f>F49+F31</f>
        <v>1071495.6499999999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23575303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2337140.19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724945.76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102638.43</v>
      </c>
      <c r="D60" s="95">
        <f>SUM('DOE25'!G97:G109)</f>
        <v>27588.7</v>
      </c>
      <c r="E60" s="95">
        <f>SUM('DOE25'!H97:H109)</f>
        <v>750</v>
      </c>
      <c r="F60" s="95">
        <f>SUM('DOE25'!I97:I109)</f>
        <v>1071495.6499999999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2439778.62</v>
      </c>
      <c r="D61" s="130">
        <f>SUM(D56:D60)</f>
        <v>752534.46</v>
      </c>
      <c r="E61" s="130">
        <f>SUM(E56:E60)</f>
        <v>750</v>
      </c>
      <c r="F61" s="130">
        <f>SUM(F56:F60)</f>
        <v>1071495.6499999999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26015081.620000001</v>
      </c>
      <c r="D62" s="22">
        <f>D55+D61</f>
        <v>752534.46</v>
      </c>
      <c r="E62" s="22">
        <f>E55+E61</f>
        <v>750</v>
      </c>
      <c r="F62" s="22">
        <f>F55+F61</f>
        <v>1071495.6499999999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22458109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4930448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27388557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840077.3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294925.44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42074.97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104278.19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1177077.71</v>
      </c>
      <c r="D77" s="130">
        <f>SUM(D71:D76)</f>
        <v>104278.19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28565634.710000001</v>
      </c>
      <c r="D80" s="130">
        <f>SUM(D78:D79)+D77+D69</f>
        <v>104278.19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93225.139999999985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609280.46</v>
      </c>
      <c r="D87" s="95">
        <f>SUM('DOE25'!G152:G160)</f>
        <v>1029089.38</v>
      </c>
      <c r="E87" s="95">
        <f>SUM('DOE25'!H152:H160)</f>
        <v>3349423.8299999996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73258.149999999994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775763.75</v>
      </c>
      <c r="D90" s="131">
        <f>SUM(D84:D89)</f>
        <v>1029089.38</v>
      </c>
      <c r="E90" s="131">
        <f>SUM(E84:E89)</f>
        <v>3349423.8299999996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55356480.079999998</v>
      </c>
      <c r="D103" s="86">
        <f>D62+D80+D90+D102</f>
        <v>1885902.0299999998</v>
      </c>
      <c r="E103" s="86">
        <f>E62+E80+E90+E102</f>
        <v>3350173.8299999996</v>
      </c>
      <c r="F103" s="86">
        <f>F62+F80+F90+F102</f>
        <v>1071495.6499999999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20936613.93</v>
      </c>
      <c r="D108" s="24" t="s">
        <v>289</v>
      </c>
      <c r="E108" s="95">
        <f>('DOE25'!L275)+('DOE25'!L294)+('DOE25'!L313)</f>
        <v>137078.88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13146902.27</v>
      </c>
      <c r="D109" s="24" t="s">
        <v>289</v>
      </c>
      <c r="E109" s="95">
        <f>('DOE25'!L276)+('DOE25'!L295)+('DOE25'!L314)</f>
        <v>2124410.64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1959110.61</v>
      </c>
      <c r="D110" s="24" t="s">
        <v>289</v>
      </c>
      <c r="E110" s="95">
        <f>('DOE25'!L277)+('DOE25'!L296)+('DOE25'!L315)</f>
        <v>132914.26999999999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573767.35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1586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6472.7699999999995</v>
      </c>
      <c r="D113" s="24" t="s">
        <v>289</v>
      </c>
      <c r="E113" s="95">
        <f>+ SUM('DOE25'!L332:L334)</f>
        <v>19733.649999999998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36622866.930000007</v>
      </c>
      <c r="D114" s="86">
        <f>SUM(D108:D113)</f>
        <v>0</v>
      </c>
      <c r="E114" s="86">
        <f>SUM(E108:E113)</f>
        <v>2415723.44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2543417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1790601.6100000003</v>
      </c>
      <c r="D118" s="24" t="s">
        <v>289</v>
      </c>
      <c r="E118" s="95">
        <f>+('DOE25'!L281)+('DOE25'!L300)+('DOE25'!L319)</f>
        <v>602766.54999999993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2047089.36</v>
      </c>
      <c r="D119" s="24" t="s">
        <v>289</v>
      </c>
      <c r="E119" s="95">
        <f>+('DOE25'!L282)+('DOE25'!L301)+('DOE25'!L320)</f>
        <v>266856.98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3061087.96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450946.46000000008</v>
      </c>
      <c r="D121" s="24" t="s">
        <v>289</v>
      </c>
      <c r="E121" s="95">
        <f>+('DOE25'!L284)+('DOE25'!L303)+('DOE25'!L322)</f>
        <v>72219.11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4334381.4000000004</v>
      </c>
      <c r="D122" s="24" t="s">
        <v>289</v>
      </c>
      <c r="E122" s="95">
        <f>+('DOE25'!L285)+('DOE25'!L304)+('DOE25'!L323)</f>
        <v>5650.01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1899041.67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1705.23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1958468.5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16128270.690000001</v>
      </c>
      <c r="D127" s="86">
        <f>SUM(D117:D126)</f>
        <v>1958468.5</v>
      </c>
      <c r="E127" s="86">
        <f>SUM(E117:E126)</f>
        <v>947492.64999999991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111113.72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1806805.5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470154.81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2276960.31</v>
      </c>
      <c r="D143" s="141">
        <f>SUM(D129:D142)</f>
        <v>0</v>
      </c>
      <c r="E143" s="141">
        <f>SUM(E129:E142)</f>
        <v>0</v>
      </c>
      <c r="F143" s="141">
        <f>SUM(F129:F142)</f>
        <v>111113.72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55028097.930000007</v>
      </c>
      <c r="D144" s="86">
        <f>(D114+D127+D143)</f>
        <v>1958468.5</v>
      </c>
      <c r="E144" s="86">
        <f>(E114+E127+E143)</f>
        <v>3363216.09</v>
      </c>
      <c r="F144" s="86">
        <f>(F114+F127+F143)</f>
        <v>111113.72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 t="str">
        <f>'DOE25'!F489</f>
        <v>VARIES</v>
      </c>
      <c r="C150" s="153">
        <f>'DOE25'!G489</f>
        <v>20</v>
      </c>
      <c r="D150" s="153">
        <f>'DOE25'!H489</f>
        <v>20</v>
      </c>
      <c r="E150" s="153">
        <f>'DOE25'!I489</f>
        <v>20</v>
      </c>
      <c r="F150" s="153" t="str">
        <f>'DOE25'!J489</f>
        <v>VARIES</v>
      </c>
      <c r="G150" s="24" t="s">
        <v>289</v>
      </c>
    </row>
    <row r="151" spans="1:9" x14ac:dyDescent="0.2">
      <c r="A151" s="136" t="s">
        <v>28</v>
      </c>
      <c r="B151" s="152" t="str">
        <f>'DOE25'!F490</f>
        <v>VARIES</v>
      </c>
      <c r="C151" s="152" t="str">
        <f>'DOE25'!G490</f>
        <v>07/01/01</v>
      </c>
      <c r="D151" s="152" t="str">
        <f>'DOE25'!H490</f>
        <v>07/01/03</v>
      </c>
      <c r="E151" s="152" t="str">
        <f>'DOE25'!I490</f>
        <v>07/01/05</v>
      </c>
      <c r="F151" s="152" t="str">
        <f>'DOE25'!J490</f>
        <v>VARIES</v>
      </c>
      <c r="G151" s="24" t="s">
        <v>289</v>
      </c>
    </row>
    <row r="152" spans="1:9" x14ac:dyDescent="0.2">
      <c r="A152" s="136" t="s">
        <v>29</v>
      </c>
      <c r="B152" s="152" t="str">
        <f>'DOE25'!F491</f>
        <v>PRIOR TO 2020</v>
      </c>
      <c r="C152" s="152" t="str">
        <f>'DOE25'!G491</f>
        <v>07/01/21</v>
      </c>
      <c r="D152" s="152" t="str">
        <f>'DOE25'!H491</f>
        <v>07/01/23</v>
      </c>
      <c r="E152" s="152" t="str">
        <f>'DOE25'!I491</f>
        <v>07/01/25</v>
      </c>
      <c r="F152" s="152" t="str">
        <f>'DOE25'!J491</f>
        <v>BEYOND 2027</v>
      </c>
      <c r="G152" s="24" t="s">
        <v>289</v>
      </c>
    </row>
    <row r="153" spans="1:9" x14ac:dyDescent="0.2">
      <c r="A153" s="136" t="s">
        <v>30</v>
      </c>
      <c r="B153" s="137" t="str">
        <f>'DOE25'!F492</f>
        <v>VARIES</v>
      </c>
      <c r="C153" s="137">
        <f>'DOE25'!G492</f>
        <v>4704717</v>
      </c>
      <c r="D153" s="137">
        <f>'DOE25'!H492</f>
        <v>3237000</v>
      </c>
      <c r="E153" s="137">
        <f>'DOE25'!I492</f>
        <v>1579313.9600000002</v>
      </c>
      <c r="F153" s="137">
        <f>'DOE25'!J492</f>
        <v>2881294.17</v>
      </c>
      <c r="G153" s="24" t="s">
        <v>289</v>
      </c>
    </row>
    <row r="154" spans="1:9" x14ac:dyDescent="0.2">
      <c r="A154" s="136" t="s">
        <v>31</v>
      </c>
      <c r="B154" s="137" t="str">
        <f>'DOE25'!F493</f>
        <v>VARIES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5086758</v>
      </c>
      <c r="C155" s="137">
        <f>'DOE25'!G494</f>
        <v>1726212</v>
      </c>
      <c r="D155" s="137">
        <f>'DOE25'!H494</f>
        <v>1752000</v>
      </c>
      <c r="E155" s="137">
        <f>'DOE25'!I494</f>
        <v>1050747</v>
      </c>
      <c r="F155" s="137">
        <f>'DOE25'!J494</f>
        <v>3054155</v>
      </c>
      <c r="G155" s="138">
        <f>SUM(B155:F155)</f>
        <v>12669872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40042</v>
      </c>
      <c r="F156" s="137">
        <f>'DOE25'!J495</f>
        <v>0</v>
      </c>
      <c r="G156" s="138">
        <f t="shared" ref="G156:G163" si="0">SUM(B156:F156)</f>
        <v>40042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3906298</v>
      </c>
      <c r="C158" s="137">
        <f>'DOE25'!G497</f>
        <v>1528209</v>
      </c>
      <c r="D158" s="137">
        <f>'DOE25'!H497</f>
        <v>1587000</v>
      </c>
      <c r="E158" s="137">
        <f>'DOE25'!I497</f>
        <v>1005042</v>
      </c>
      <c r="F158" s="137">
        <f>'DOE25'!J497</f>
        <v>2876559</v>
      </c>
      <c r="G158" s="138">
        <f t="shared" si="0"/>
        <v>10903108</v>
      </c>
    </row>
    <row r="159" spans="1:9" x14ac:dyDescent="0.2">
      <c r="A159" s="22" t="s">
        <v>36</v>
      </c>
      <c r="B159" s="137">
        <f>'DOE25'!F498</f>
        <v>368321</v>
      </c>
      <c r="C159" s="137">
        <f>'DOE25'!G498</f>
        <v>115721</v>
      </c>
      <c r="D159" s="137">
        <f>'DOE25'!H498</f>
        <v>362356</v>
      </c>
      <c r="E159" s="137">
        <f>'DOE25'!I498</f>
        <v>130731</v>
      </c>
      <c r="F159" s="137">
        <f>'DOE25'!J498</f>
        <v>920906</v>
      </c>
      <c r="G159" s="138">
        <f t="shared" si="0"/>
        <v>1898035</v>
      </c>
    </row>
    <row r="160" spans="1:9" x14ac:dyDescent="0.2">
      <c r="A160" s="22" t="s">
        <v>37</v>
      </c>
      <c r="B160" s="137">
        <f>'DOE25'!F499</f>
        <v>4274619</v>
      </c>
      <c r="C160" s="137">
        <f>'DOE25'!G499</f>
        <v>1643930</v>
      </c>
      <c r="D160" s="137">
        <f>'DOE25'!H499</f>
        <v>1949356</v>
      </c>
      <c r="E160" s="137">
        <f>'DOE25'!I499</f>
        <v>1135773</v>
      </c>
      <c r="F160" s="137">
        <f>'DOE25'!J499</f>
        <v>3797465</v>
      </c>
      <c r="G160" s="138">
        <f t="shared" si="0"/>
        <v>12801143</v>
      </c>
    </row>
    <row r="161" spans="1:7" x14ac:dyDescent="0.2">
      <c r="A161" s="22" t="s">
        <v>38</v>
      </c>
      <c r="B161" s="137">
        <f>'DOE25'!F500</f>
        <v>1180460</v>
      </c>
      <c r="C161" s="137">
        <f>'DOE25'!G500</f>
        <v>196840</v>
      </c>
      <c r="D161" s="137">
        <f>'DOE25'!H500</f>
        <v>160000</v>
      </c>
      <c r="E161" s="137">
        <f>'DOE25'!I500</f>
        <v>102156</v>
      </c>
      <c r="F161" s="137">
        <f>'DOE25'!J500</f>
        <v>174293</v>
      </c>
      <c r="G161" s="138">
        <f t="shared" si="0"/>
        <v>1813749</v>
      </c>
    </row>
    <row r="162" spans="1:7" x14ac:dyDescent="0.2">
      <c r="A162" s="22" t="s">
        <v>39</v>
      </c>
      <c r="B162" s="137">
        <f>'DOE25'!F501</f>
        <v>163912</v>
      </c>
      <c r="C162" s="137">
        <f>'DOE25'!G501</f>
        <v>27688</v>
      </c>
      <c r="D162" s="137">
        <f>'DOE25'!H501</f>
        <v>68829</v>
      </c>
      <c r="E162" s="137">
        <f>'DOE25'!I501</f>
        <v>20325</v>
      </c>
      <c r="F162" s="137">
        <f>'DOE25'!J501</f>
        <v>103242</v>
      </c>
      <c r="G162" s="138">
        <f t="shared" si="0"/>
        <v>383996</v>
      </c>
    </row>
    <row r="163" spans="1:7" x14ac:dyDescent="0.2">
      <c r="A163" s="22" t="s">
        <v>246</v>
      </c>
      <c r="B163" s="137">
        <f>'DOE25'!F502</f>
        <v>1344372</v>
      </c>
      <c r="C163" s="137">
        <f>'DOE25'!G502</f>
        <v>224528</v>
      </c>
      <c r="D163" s="137">
        <f>'DOE25'!H502</f>
        <v>228829</v>
      </c>
      <c r="E163" s="137">
        <f>'DOE25'!I502</f>
        <v>122481</v>
      </c>
      <c r="F163" s="137">
        <f>'DOE25'!J502</f>
        <v>277535</v>
      </c>
      <c r="G163" s="138">
        <f t="shared" si="0"/>
        <v>2197745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Rochester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13335</v>
      </c>
    </row>
    <row r="5" spans="1:4" x14ac:dyDescent="0.2">
      <c r="B5" t="s">
        <v>704</v>
      </c>
      <c r="C5" s="179">
        <f>IF('DOE25'!G664+'DOE25'!G669=0,0,ROUND('DOE25'!G671,0))</f>
        <v>11690</v>
      </c>
    </row>
    <row r="6" spans="1:4" x14ac:dyDescent="0.2">
      <c r="B6" t="s">
        <v>62</v>
      </c>
      <c r="C6" s="179">
        <f>IF('DOE25'!H664+'DOE25'!H669=0,0,ROUND('DOE25'!H671,0))</f>
        <v>11284</v>
      </c>
    </row>
    <row r="7" spans="1:4" x14ac:dyDescent="0.2">
      <c r="B7" t="s">
        <v>705</v>
      </c>
      <c r="C7" s="179">
        <f>IF('DOE25'!I664+'DOE25'!I669=0,0,ROUND('DOE25'!I671,0))</f>
        <v>12282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21073693</v>
      </c>
      <c r="D10" s="182">
        <f>ROUND((C10/$C$28)*100,1)</f>
        <v>36.5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15271313</v>
      </c>
      <c r="D11" s="182">
        <f>ROUND((C11/$C$28)*100,1)</f>
        <v>26.4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2092025</v>
      </c>
      <c r="D12" s="182">
        <f>ROUND((C12/$C$28)*100,1)</f>
        <v>3.6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573767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2543417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2393368</v>
      </c>
      <c r="D16" s="182">
        <f t="shared" si="0"/>
        <v>4.0999999999999996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2315652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3061088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523166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4340031</v>
      </c>
      <c r="D20" s="182">
        <f t="shared" si="0"/>
        <v>7.5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1899042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1586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26206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470155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1205934.54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57790443.539999999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111114</v>
      </c>
    </row>
    <row r="30" spans="1:4" x14ac:dyDescent="0.2">
      <c r="B30" s="187" t="s">
        <v>729</v>
      </c>
      <c r="C30" s="180">
        <f>SUM(C28:C29)</f>
        <v>57901557.539999999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1806806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23575303</v>
      </c>
      <c r="D35" s="182">
        <f t="shared" ref="D35:D40" si="1">ROUND((C35/$C$41)*100,1)</f>
        <v>38.700000000000003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3512024.2699999996</v>
      </c>
      <c r="D36" s="182">
        <f t="shared" si="1"/>
        <v>5.8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27388557</v>
      </c>
      <c r="D37" s="182">
        <f t="shared" si="1"/>
        <v>45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1281356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5154277</v>
      </c>
      <c r="D39" s="182">
        <f t="shared" si="1"/>
        <v>8.5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60911517.269999996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Rochester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19</v>
      </c>
      <c r="B4" s="219" t="s">
        <v>919</v>
      </c>
      <c r="C4" s="285" t="s">
        <v>925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920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19</v>
      </c>
      <c r="B7" s="219" t="s">
        <v>921</v>
      </c>
      <c r="C7" s="285" t="s">
        <v>923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19</v>
      </c>
      <c r="B8" s="219" t="s">
        <v>922</v>
      </c>
      <c r="C8" s="285" t="s">
        <v>924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2013-08-21T18:27:24Z</cp:lastPrinted>
  <dcterms:created xsi:type="dcterms:W3CDTF">1997-12-04T19:04:30Z</dcterms:created>
  <dcterms:modified xsi:type="dcterms:W3CDTF">2013-12-05T18:57:09Z</dcterms:modified>
</cp:coreProperties>
</file>