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90" windowWidth="12735" windowHeight="64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G48" i="1" l="1"/>
  <c r="F581" i="1" l="1"/>
  <c r="B11" i="12"/>
  <c r="B19" i="12"/>
  <c r="B20" i="12"/>
  <c r="C20" i="12"/>
  <c r="C10" i="12"/>
  <c r="C37" i="12"/>
  <c r="C21" i="12"/>
  <c r="B21" i="12"/>
  <c r="C19" i="12"/>
  <c r="C12" i="12"/>
  <c r="C11" i="12"/>
  <c r="B12" i="12"/>
  <c r="B10" i="12"/>
  <c r="H357" i="1"/>
  <c r="G96" i="1"/>
  <c r="G43" i="1"/>
  <c r="G22" i="1"/>
  <c r="H23" i="1"/>
  <c r="H12" i="1"/>
  <c r="F23" i="1"/>
  <c r="F22" i="1"/>
  <c r="F12" i="1"/>
  <c r="F100" i="1"/>
  <c r="F458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C119" i="2" s="1"/>
  <c r="L221" i="1"/>
  <c r="L239" i="1"/>
  <c r="D39" i="13"/>
  <c r="F13" i="13"/>
  <c r="G13" i="13"/>
  <c r="E13" i="13" s="1"/>
  <c r="C13" i="13" s="1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C122" i="2" s="1"/>
  <c r="L224" i="1"/>
  <c r="L242" i="1"/>
  <c r="F15" i="13"/>
  <c r="G15" i="13"/>
  <c r="F17" i="13"/>
  <c r="G17" i="13"/>
  <c r="L250" i="1"/>
  <c r="D17" i="13" s="1"/>
  <c r="C17" i="13" s="1"/>
  <c r="F18" i="13"/>
  <c r="D18" i="13" s="1"/>
  <c r="C18" i="13" s="1"/>
  <c r="G18" i="13"/>
  <c r="L251" i="1"/>
  <c r="F19" i="13"/>
  <c r="G19" i="13"/>
  <c r="L252" i="1"/>
  <c r="D19" i="13" s="1"/>
  <c r="C19" i="13" s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E108" i="2" s="1"/>
  <c r="L314" i="1"/>
  <c r="L315" i="1"/>
  <c r="L316" i="1"/>
  <c r="E111" i="2" s="1"/>
  <c r="L318" i="1"/>
  <c r="L319" i="1"/>
  <c r="L320" i="1"/>
  <c r="L321" i="1"/>
  <c r="L322" i="1"/>
  <c r="L323" i="1"/>
  <c r="L324" i="1"/>
  <c r="L325" i="1"/>
  <c r="L332" i="1"/>
  <c r="L333" i="1"/>
  <c r="E113" i="2" s="1"/>
  <c r="L334" i="1"/>
  <c r="L259" i="1"/>
  <c r="L260" i="1"/>
  <c r="L340" i="1"/>
  <c r="L341" i="1"/>
  <c r="C25" i="10" s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2" i="1" s="1"/>
  <c r="C137" i="2" s="1"/>
  <c r="L394" i="1"/>
  <c r="L400" i="1" s="1"/>
  <c r="C138" i="2" s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C40" i="10"/>
  <c r="F59" i="1"/>
  <c r="G59" i="1"/>
  <c r="D55" i="2" s="1"/>
  <c r="H59" i="1"/>
  <c r="E55" i="2" s="1"/>
  <c r="I59" i="1"/>
  <c r="F78" i="1"/>
  <c r="F93" i="1"/>
  <c r="C57" i="2" s="1"/>
  <c r="F110" i="1"/>
  <c r="G110" i="1"/>
  <c r="H78" i="1"/>
  <c r="E56" i="2" s="1"/>
  <c r="H93" i="1"/>
  <c r="E57" i="2" s="1"/>
  <c r="H110" i="1"/>
  <c r="I110" i="1"/>
  <c r="I111" i="1" s="1"/>
  <c r="J110" i="1"/>
  <c r="J111" i="1" s="1"/>
  <c r="F120" i="1"/>
  <c r="F135" i="1"/>
  <c r="G120" i="1"/>
  <c r="G135" i="1"/>
  <c r="H120" i="1"/>
  <c r="H135" i="1"/>
  <c r="H139" i="1" s="1"/>
  <c r="I120" i="1"/>
  <c r="I135" i="1"/>
  <c r="J120" i="1"/>
  <c r="J135" i="1"/>
  <c r="F146" i="1"/>
  <c r="F161" i="1"/>
  <c r="F168" i="1" s="1"/>
  <c r="G146" i="1"/>
  <c r="G161" i="1"/>
  <c r="H146" i="1"/>
  <c r="H161" i="1"/>
  <c r="H168" i="1" s="1"/>
  <c r="I146" i="1"/>
  <c r="I161" i="1"/>
  <c r="C13" i="10"/>
  <c r="L249" i="1"/>
  <c r="L331" i="1"/>
  <c r="C23" i="10" s="1"/>
  <c r="L253" i="1"/>
  <c r="L267" i="1"/>
  <c r="L268" i="1"/>
  <c r="L348" i="1"/>
  <c r="L349" i="1"/>
  <c r="E142" i="2" s="1"/>
  <c r="I664" i="1"/>
  <c r="I669" i="1"/>
  <c r="I668" i="1"/>
  <c r="C42" i="10"/>
  <c r="C32" i="10"/>
  <c r="L373" i="1"/>
  <c r="F129" i="2" s="1"/>
  <c r="L374" i="1"/>
  <c r="L375" i="1"/>
  <c r="L376" i="1"/>
  <c r="L377" i="1"/>
  <c r="L378" i="1"/>
  <c r="L379" i="1"/>
  <c r="B2" i="10"/>
  <c r="L343" i="1"/>
  <c r="L344" i="1"/>
  <c r="E134" i="2" s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H551" i="1" s="1"/>
  <c r="L531" i="1"/>
  <c r="H549" i="1" s="1"/>
  <c r="L532" i="1"/>
  <c r="H550" i="1" s="1"/>
  <c r="L535" i="1"/>
  <c r="I548" i="1" s="1"/>
  <c r="I551" i="1" s="1"/>
  <c r="L536" i="1"/>
  <c r="I549" i="1" s="1"/>
  <c r="L537" i="1"/>
  <c r="I550" i="1" s="1"/>
  <c r="L540" i="1"/>
  <c r="J548" i="1" s="1"/>
  <c r="L541" i="1"/>
  <c r="J549" i="1" s="1"/>
  <c r="L542" i="1"/>
  <c r="J550" i="1" s="1"/>
  <c r="E130" i="2"/>
  <c r="K269" i="1"/>
  <c r="L269" i="1" s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E31" i="2" s="1"/>
  <c r="F21" i="2"/>
  <c r="I447" i="1"/>
  <c r="J22" i="1" s="1"/>
  <c r="C22" i="2"/>
  <c r="D22" i="2"/>
  <c r="D31" i="2" s="1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F31" i="2" s="1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E49" i="2" s="1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F55" i="2"/>
  <c r="C56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G80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E77" i="2" s="1"/>
  <c r="E80" i="2" s="1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F102" i="2" s="1"/>
  <c r="C93" i="2"/>
  <c r="F93" i="2"/>
  <c r="D95" i="2"/>
  <c r="E95" i="2"/>
  <c r="E102" i="2" s="1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2" i="2"/>
  <c r="E112" i="2"/>
  <c r="C113" i="2"/>
  <c r="D114" i="2"/>
  <c r="F114" i="2"/>
  <c r="G114" i="2"/>
  <c r="E120" i="2"/>
  <c r="C121" i="2"/>
  <c r="E122" i="2"/>
  <c r="E124" i="2"/>
  <c r="F127" i="2"/>
  <c r="G127" i="2"/>
  <c r="E129" i="2"/>
  <c r="D133" i="2"/>
  <c r="D143" i="2" s="1"/>
  <c r="E133" i="2"/>
  <c r="F133" i="2"/>
  <c r="K418" i="1"/>
  <c r="K426" i="1"/>
  <c r="K432" i="1"/>
  <c r="L262" i="1"/>
  <c r="C134" i="2" s="1"/>
  <c r="L263" i="1"/>
  <c r="C135" i="2" s="1"/>
  <c r="L264" i="1"/>
  <c r="C136" i="2" s="1"/>
  <c r="E136" i="2"/>
  <c r="C141" i="2"/>
  <c r="E141" i="2"/>
  <c r="C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G155" i="2" s="1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G158" i="2" s="1"/>
  <c r="D158" i="2"/>
  <c r="E158" i="2"/>
  <c r="F158" i="2"/>
  <c r="B159" i="2"/>
  <c r="C159" i="2"/>
  <c r="G159" i="2" s="1"/>
  <c r="D159" i="2"/>
  <c r="E159" i="2"/>
  <c r="F159" i="2"/>
  <c r="F499" i="1"/>
  <c r="B160" i="2" s="1"/>
  <c r="G160" i="2" s="1"/>
  <c r="G499" i="1"/>
  <c r="C160" i="2" s="1"/>
  <c r="H499" i="1"/>
  <c r="D160" i="2" s="1"/>
  <c r="I499" i="1"/>
  <c r="E160" i="2" s="1"/>
  <c r="J499" i="1"/>
  <c r="F160" i="2" s="1"/>
  <c r="B161" i="2"/>
  <c r="C161" i="2"/>
  <c r="G161" i="2" s="1"/>
  <c r="D161" i="2"/>
  <c r="E161" i="2"/>
  <c r="F161" i="2"/>
  <c r="B162" i="2"/>
  <c r="G162" i="2" s="1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F51" i="1" s="1"/>
  <c r="H616" i="1" s="1"/>
  <c r="G50" i="1"/>
  <c r="G622" i="1" s="1"/>
  <c r="H50" i="1"/>
  <c r="G623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I210" i="1"/>
  <c r="J210" i="1"/>
  <c r="K210" i="1"/>
  <c r="F228" i="1"/>
  <c r="G228" i="1"/>
  <c r="I228" i="1"/>
  <c r="J228" i="1"/>
  <c r="K228" i="1"/>
  <c r="F246" i="1"/>
  <c r="G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G640" i="1" s="1"/>
  <c r="J640" i="1" s="1"/>
  <c r="F451" i="1"/>
  <c r="G451" i="1"/>
  <c r="H451" i="1"/>
  <c r="I451" i="1"/>
  <c r="F459" i="1"/>
  <c r="G459" i="1"/>
  <c r="G460" i="1" s="1"/>
  <c r="H639" i="1" s="1"/>
  <c r="J639" i="1" s="1"/>
  <c r="H459" i="1"/>
  <c r="F460" i="1"/>
  <c r="H638" i="1" s="1"/>
  <c r="H460" i="1"/>
  <c r="I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4" i="1" s="1"/>
  <c r="L563" i="1"/>
  <c r="F564" i="1"/>
  <c r="G564" i="1"/>
  <c r="H564" i="1"/>
  <c r="H570" i="1" s="1"/>
  <c r="I564" i="1"/>
  <c r="J564" i="1"/>
  <c r="J570" i="1" s="1"/>
  <c r="K564" i="1"/>
  <c r="L566" i="1"/>
  <c r="L569" i="1" s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2" i="1"/>
  <c r="K593" i="1"/>
  <c r="K594" i="1"/>
  <c r="K595" i="1"/>
  <c r="K596" i="1"/>
  <c r="K601" i="1"/>
  <c r="K602" i="1"/>
  <c r="I604" i="1"/>
  <c r="J604" i="1"/>
  <c r="F613" i="1"/>
  <c r="G613" i="1"/>
  <c r="H613" i="1"/>
  <c r="I613" i="1"/>
  <c r="J613" i="1"/>
  <c r="K613" i="1"/>
  <c r="G619" i="1"/>
  <c r="G624" i="1"/>
  <c r="H635" i="1"/>
  <c r="G639" i="1"/>
  <c r="H640" i="1"/>
  <c r="G642" i="1"/>
  <c r="H642" i="1"/>
  <c r="J642" i="1" s="1"/>
  <c r="G643" i="1"/>
  <c r="G651" i="1"/>
  <c r="H651" i="1"/>
  <c r="G652" i="1"/>
  <c r="H652" i="1"/>
  <c r="G653" i="1"/>
  <c r="H653" i="1"/>
  <c r="H654" i="1"/>
  <c r="L255" i="1"/>
  <c r="G163" i="2"/>
  <c r="F61" i="2"/>
  <c r="F62" i="2" s="1"/>
  <c r="G156" i="2"/>
  <c r="F18" i="2"/>
  <c r="K570" i="1"/>
  <c r="I168" i="1"/>
  <c r="J139" i="1"/>
  <c r="F570" i="1"/>
  <c r="H25" i="13"/>
  <c r="C25" i="13" s="1"/>
  <c r="L559" i="1"/>
  <c r="J544" i="1"/>
  <c r="I570" i="1"/>
  <c r="G36" i="2"/>
  <c r="K550" i="1" l="1"/>
  <c r="C18" i="10"/>
  <c r="L523" i="1"/>
  <c r="J551" i="1"/>
  <c r="H544" i="1"/>
  <c r="F551" i="1"/>
  <c r="I544" i="1"/>
  <c r="G551" i="1"/>
  <c r="A13" i="12"/>
  <c r="D61" i="2"/>
  <c r="D62" i="2" s="1"/>
  <c r="C18" i="2"/>
  <c r="D49" i="2"/>
  <c r="D50" i="2" s="1"/>
  <c r="F49" i="2"/>
  <c r="F50" i="2" s="1"/>
  <c r="G621" i="1"/>
  <c r="E50" i="2"/>
  <c r="C49" i="2"/>
  <c r="H51" i="1"/>
  <c r="H618" i="1" s="1"/>
  <c r="J618" i="1" s="1"/>
  <c r="G51" i="1"/>
  <c r="H617" i="1" s="1"/>
  <c r="J617" i="1" s="1"/>
  <c r="C31" i="2"/>
  <c r="J616" i="1"/>
  <c r="D18" i="2"/>
  <c r="E18" i="2"/>
  <c r="L613" i="1"/>
  <c r="K544" i="1"/>
  <c r="G544" i="1"/>
  <c r="L543" i="1"/>
  <c r="K548" i="1"/>
  <c r="L533" i="1"/>
  <c r="L528" i="1"/>
  <c r="L538" i="1"/>
  <c r="K549" i="1"/>
  <c r="K502" i="1"/>
  <c r="G157" i="2"/>
  <c r="L381" i="1"/>
  <c r="G635" i="1" s="1"/>
  <c r="J635" i="1" s="1"/>
  <c r="I368" i="1"/>
  <c r="H633" i="1" s="1"/>
  <c r="J633" i="1"/>
  <c r="H660" i="1"/>
  <c r="G660" i="1"/>
  <c r="D29" i="13"/>
  <c r="C29" i="13" s="1"/>
  <c r="D126" i="2"/>
  <c r="D127" i="2" s="1"/>
  <c r="D144" i="2" s="1"/>
  <c r="F660" i="1"/>
  <c r="L361" i="1"/>
  <c r="G471" i="1" s="1"/>
  <c r="C26" i="10"/>
  <c r="L350" i="1"/>
  <c r="E131" i="2"/>
  <c r="E143" i="2" s="1"/>
  <c r="H33" i="13"/>
  <c r="L336" i="1"/>
  <c r="C29" i="10"/>
  <c r="E119" i="2"/>
  <c r="E118" i="2"/>
  <c r="E121" i="2"/>
  <c r="E117" i="2"/>
  <c r="G337" i="1"/>
  <c r="G351" i="1" s="1"/>
  <c r="L327" i="1"/>
  <c r="E123" i="2"/>
  <c r="L308" i="1"/>
  <c r="H337" i="1"/>
  <c r="H351" i="1" s="1"/>
  <c r="E110" i="2"/>
  <c r="C11" i="10"/>
  <c r="F337" i="1"/>
  <c r="F351" i="1" s="1"/>
  <c r="C15" i="10"/>
  <c r="K337" i="1"/>
  <c r="K351" i="1" s="1"/>
  <c r="E109" i="2"/>
  <c r="E114" i="2" s="1"/>
  <c r="L289" i="1"/>
  <c r="J337" i="1"/>
  <c r="J351" i="1" s="1"/>
  <c r="H603" i="1" s="1"/>
  <c r="F662" i="1" s="1"/>
  <c r="I662" i="1" s="1"/>
  <c r="C12" i="10"/>
  <c r="F90" i="2"/>
  <c r="D90" i="2"/>
  <c r="C90" i="2"/>
  <c r="D80" i="2"/>
  <c r="F77" i="2"/>
  <c r="F80" i="2" s="1"/>
  <c r="F103" i="2" s="1"/>
  <c r="C77" i="2"/>
  <c r="C80" i="2" s="1"/>
  <c r="C69" i="2"/>
  <c r="G61" i="2"/>
  <c r="G62" i="2" s="1"/>
  <c r="G103" i="2" s="1"/>
  <c r="C61" i="2"/>
  <c r="C62" i="2" s="1"/>
  <c r="E61" i="2"/>
  <c r="E62" i="2" s="1"/>
  <c r="F111" i="1"/>
  <c r="H111" i="1"/>
  <c r="G111" i="1"/>
  <c r="C35" i="10"/>
  <c r="L426" i="1"/>
  <c r="G407" i="1"/>
  <c r="H644" i="1" s="1"/>
  <c r="I407" i="1"/>
  <c r="H407" i="1"/>
  <c r="H643" i="1" s="1"/>
  <c r="J643" i="1" s="1"/>
  <c r="J638" i="1"/>
  <c r="I459" i="1"/>
  <c r="I460" i="1" s="1"/>
  <c r="H641" i="1" s="1"/>
  <c r="I445" i="1"/>
  <c r="G641" i="1" s="1"/>
  <c r="L432" i="1"/>
  <c r="L418" i="1"/>
  <c r="L433" i="1" s="1"/>
  <c r="J471" i="1" s="1"/>
  <c r="H191" i="1"/>
  <c r="G191" i="1"/>
  <c r="F191" i="1"/>
  <c r="C102" i="2"/>
  <c r="J654" i="1"/>
  <c r="G644" i="1"/>
  <c r="J644" i="1" s="1"/>
  <c r="D14" i="13"/>
  <c r="C14" i="13" s="1"/>
  <c r="C20" i="10"/>
  <c r="C120" i="2"/>
  <c r="C17" i="10"/>
  <c r="E8" i="13"/>
  <c r="C8" i="13" s="1"/>
  <c r="C118" i="2"/>
  <c r="C117" i="2"/>
  <c r="F22" i="13"/>
  <c r="C22" i="13" s="1"/>
  <c r="C129" i="2"/>
  <c r="C16" i="10"/>
  <c r="D6" i="13"/>
  <c r="C6" i="13" s="1"/>
  <c r="C124" i="2"/>
  <c r="D12" i="13"/>
  <c r="C12" i="13" s="1"/>
  <c r="F256" i="1"/>
  <c r="F270" i="1" s="1"/>
  <c r="I256" i="1"/>
  <c r="I270" i="1" s="1"/>
  <c r="C110" i="2"/>
  <c r="E16" i="13"/>
  <c r="C19" i="10"/>
  <c r="D7" i="13"/>
  <c r="C7" i="13" s="1"/>
  <c r="C111" i="2"/>
  <c r="C109" i="2"/>
  <c r="K256" i="1"/>
  <c r="K270" i="1" s="1"/>
  <c r="G256" i="1"/>
  <c r="G270" i="1" s="1"/>
  <c r="J256" i="1"/>
  <c r="J270" i="1" s="1"/>
  <c r="C10" i="10"/>
  <c r="A31" i="12"/>
  <c r="A40" i="12"/>
  <c r="C108" i="2"/>
  <c r="D5" i="13"/>
  <c r="C5" i="13" s="1"/>
  <c r="C24" i="10"/>
  <c r="G31" i="13"/>
  <c r="G33" i="13" s="1"/>
  <c r="I337" i="1"/>
  <c r="I351" i="1" s="1"/>
  <c r="L406" i="1"/>
  <c r="C139" i="2" s="1"/>
  <c r="C140" i="2" s="1"/>
  <c r="C143" i="2" s="1"/>
  <c r="L570" i="1"/>
  <c r="I191" i="1"/>
  <c r="E90" i="2"/>
  <c r="L407" i="1"/>
  <c r="G636" i="1" s="1"/>
  <c r="J653" i="1"/>
  <c r="J652" i="1"/>
  <c r="F143" i="2"/>
  <c r="F144" i="2" s="1"/>
  <c r="G21" i="2"/>
  <c r="G31" i="2" s="1"/>
  <c r="J32" i="1"/>
  <c r="J433" i="1"/>
  <c r="F433" i="1"/>
  <c r="K433" i="1"/>
  <c r="G133" i="2" s="1"/>
  <c r="G143" i="2" s="1"/>
  <c r="G144" i="2" s="1"/>
  <c r="F31" i="13"/>
  <c r="F33" i="13" s="1"/>
  <c r="J192" i="1"/>
  <c r="G168" i="1"/>
  <c r="C39" i="10" s="1"/>
  <c r="G139" i="1"/>
  <c r="F139" i="1"/>
  <c r="G42" i="2"/>
  <c r="J50" i="1"/>
  <c r="G16" i="2"/>
  <c r="J19" i="1"/>
  <c r="G620" i="1" s="1"/>
  <c r="G18" i="2"/>
  <c r="F544" i="1"/>
  <c r="H433" i="1"/>
  <c r="J619" i="1"/>
  <c r="D102" i="2"/>
  <c r="I139" i="1"/>
  <c r="A22" i="12"/>
  <c r="G49" i="2"/>
  <c r="J651" i="1"/>
  <c r="G570" i="1"/>
  <c r="I433" i="1"/>
  <c r="G433" i="1"/>
  <c r="K551" i="1" l="1"/>
  <c r="E33" i="13"/>
  <c r="D35" i="13" s="1"/>
  <c r="E127" i="2"/>
  <c r="I660" i="1"/>
  <c r="C50" i="2"/>
  <c r="L544" i="1"/>
  <c r="G634" i="1"/>
  <c r="C27" i="10"/>
  <c r="H634" i="1"/>
  <c r="G473" i="1"/>
  <c r="L337" i="1"/>
  <c r="L351" i="1" s="1"/>
  <c r="G632" i="1" s="1"/>
  <c r="E144" i="2"/>
  <c r="D31" i="13"/>
  <c r="C31" i="13" s="1"/>
  <c r="H604" i="1"/>
  <c r="K603" i="1"/>
  <c r="K604" i="1" s="1"/>
  <c r="G647" i="1" s="1"/>
  <c r="E103" i="2"/>
  <c r="D103" i="2"/>
  <c r="C103" i="2"/>
  <c r="H192" i="1"/>
  <c r="G628" i="1" s="1"/>
  <c r="C36" i="10"/>
  <c r="G645" i="1"/>
  <c r="J467" i="1"/>
  <c r="J641" i="1"/>
  <c r="G50" i="2"/>
  <c r="G637" i="1"/>
  <c r="H645" i="1"/>
  <c r="F192" i="1"/>
  <c r="I192" i="1"/>
  <c r="H647" i="1"/>
  <c r="C16" i="13"/>
  <c r="C114" i="2"/>
  <c r="G630" i="1"/>
  <c r="J645" i="1"/>
  <c r="G192" i="1"/>
  <c r="G625" i="1"/>
  <c r="J51" i="1"/>
  <c r="H620" i="1" s="1"/>
  <c r="J620" i="1" s="1"/>
  <c r="C38" i="10"/>
  <c r="J634" i="1" l="1"/>
  <c r="H471" i="1"/>
  <c r="H632" i="1" s="1"/>
  <c r="J632" i="1" s="1"/>
  <c r="J647" i="1"/>
  <c r="H467" i="1"/>
  <c r="H469" i="1" s="1"/>
  <c r="G629" i="1"/>
  <c r="I467" i="1"/>
  <c r="G627" i="1"/>
  <c r="G467" i="1"/>
  <c r="G626" i="1"/>
  <c r="F467" i="1"/>
  <c r="H636" i="1"/>
  <c r="J636" i="1" s="1"/>
  <c r="J469" i="1"/>
  <c r="H630" i="1"/>
  <c r="J630" i="1" s="1"/>
  <c r="J473" i="1"/>
  <c r="H637" i="1"/>
  <c r="J637" i="1" s="1"/>
  <c r="C41" i="10"/>
  <c r="D38" i="10" s="1"/>
  <c r="H473" i="1" l="1"/>
  <c r="H475" i="1" s="1"/>
  <c r="H623" i="1" s="1"/>
  <c r="J623" i="1" s="1"/>
  <c r="H628" i="1"/>
  <c r="J628" i="1" s="1"/>
  <c r="I469" i="1"/>
  <c r="I475" i="1" s="1"/>
  <c r="H624" i="1" s="1"/>
  <c r="J624" i="1" s="1"/>
  <c r="H629" i="1"/>
  <c r="J629" i="1" s="1"/>
  <c r="G469" i="1"/>
  <c r="G475" i="1" s="1"/>
  <c r="H622" i="1" s="1"/>
  <c r="J622" i="1" s="1"/>
  <c r="H627" i="1"/>
  <c r="J627" i="1" s="1"/>
  <c r="F469" i="1"/>
  <c r="H626" i="1"/>
  <c r="J475" i="1"/>
  <c r="H625" i="1" s="1"/>
  <c r="J625" i="1" s="1"/>
  <c r="D37" i="10"/>
  <c r="D36" i="10"/>
  <c r="D35" i="10"/>
  <c r="D40" i="10"/>
  <c r="D39" i="10"/>
  <c r="J626" i="1" l="1"/>
  <c r="D41" i="10"/>
  <c r="J597" i="1" l="1"/>
  <c r="H650" i="1" s="1"/>
  <c r="I597" i="1" l="1"/>
  <c r="H649" i="1" s="1"/>
  <c r="K591" i="1"/>
  <c r="H597" i="1"/>
  <c r="H648" i="1" s="1"/>
  <c r="K590" i="1"/>
  <c r="L243" i="1" l="1"/>
  <c r="H246" i="1"/>
  <c r="K597" i="1"/>
  <c r="G646" i="1" s="1"/>
  <c r="H228" i="1"/>
  <c r="L225" i="1"/>
  <c r="H210" i="1"/>
  <c r="L207" i="1"/>
  <c r="G649" i="1" l="1"/>
  <c r="J649" i="1" s="1"/>
  <c r="G661" i="1"/>
  <c r="L228" i="1"/>
  <c r="G659" i="1" s="1"/>
  <c r="G663" i="1" s="1"/>
  <c r="L246" i="1"/>
  <c r="H659" i="1" s="1"/>
  <c r="G650" i="1"/>
  <c r="J650" i="1" s="1"/>
  <c r="H661" i="1"/>
  <c r="H256" i="1"/>
  <c r="H270" i="1" s="1"/>
  <c r="G648" i="1"/>
  <c r="J648" i="1" s="1"/>
  <c r="D15" i="13"/>
  <c r="L210" i="1"/>
  <c r="C21" i="10"/>
  <c r="C123" i="2"/>
  <c r="C127" i="2" s="1"/>
  <c r="C144" i="2" s="1"/>
  <c r="H646" i="1"/>
  <c r="J646" i="1" s="1"/>
  <c r="F661" i="1"/>
  <c r="I661" i="1" l="1"/>
  <c r="H663" i="1"/>
  <c r="G666" i="1"/>
  <c r="G671" i="1"/>
  <c r="C5" i="10" s="1"/>
  <c r="C15" i="13"/>
  <c r="D33" i="13"/>
  <c r="D36" i="13" s="1"/>
  <c r="C28" i="10"/>
  <c r="D21" i="10"/>
  <c r="F659" i="1"/>
  <c r="L256" i="1"/>
  <c r="L270" i="1" s="1"/>
  <c r="H671" i="1" l="1"/>
  <c r="C6" i="10" s="1"/>
  <c r="H666" i="1"/>
  <c r="D24" i="10"/>
  <c r="D16" i="10"/>
  <c r="C30" i="10"/>
  <c r="D17" i="10"/>
  <c r="D25" i="10"/>
  <c r="D13" i="10"/>
  <c r="D10" i="10"/>
  <c r="D18" i="10"/>
  <c r="D20" i="10"/>
  <c r="D15" i="10"/>
  <c r="D23" i="10"/>
  <c r="D22" i="10"/>
  <c r="D12" i="10"/>
  <c r="D19" i="10"/>
  <c r="D27" i="10"/>
  <c r="D26" i="10"/>
  <c r="D11" i="10"/>
  <c r="F471" i="1"/>
  <c r="G631" i="1"/>
  <c r="F663" i="1"/>
  <c r="I659" i="1"/>
  <c r="I663" i="1" s="1"/>
  <c r="D28" i="10" l="1"/>
  <c r="H631" i="1"/>
  <c r="J631" i="1" s="1"/>
  <c r="F473" i="1"/>
  <c r="F475" i="1" s="1"/>
  <c r="H621" i="1" s="1"/>
  <c r="J621" i="1" s="1"/>
  <c r="I671" i="1"/>
  <c r="C7" i="10" s="1"/>
  <c r="I666" i="1"/>
  <c r="F671" i="1"/>
  <c r="C4" i="10" s="1"/>
  <c r="F666" i="1"/>
  <c r="H655" i="1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<sst xmlns="http://schemas.openxmlformats.org/spreadsheetml/2006/main" count="3944" uniqueCount="910">
  <si>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</si>
  <si>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</si>
  <si>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</si>
  <si>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</si>
  <si>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</si>
  <si>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</si>
  <si>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</si>
  <si>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</si>
  <si>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</si>
  <si>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</si>
  <si>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</si>
  <si>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</si>
  <si>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</si>
  <si>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</si>
  <si>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</si>
  <si>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</si>
  <si>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</si>
  <si>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</si>
  <si>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</si>
  <si>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</si>
  <si>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</si>
  <si>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</si>
  <si>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</si>
  <si>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</si>
  <si>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</si>
  <si>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</si>
  <si>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</si>
  <si>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</si>
  <si>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</si>
  <si>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</si>
  <si>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</si>
  <si>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</si>
  <si>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</si>
  <si>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</si>
  <si>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</si>
  <si>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</si>
  <si>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</si>
  <si>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</si>
  <si>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</si>
  <si>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</si>
  <si>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</si>
  <si>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</si>
  <si>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</si>
  <si>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</si>
  <si>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</si>
  <si>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</si>
  <si>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</si>
  <si>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</si>
  <si>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</si>
  <si>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</si>
  <si>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</si>
  <si>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</si>
  <si>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</si>
  <si>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</si>
  <si>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</si>
  <si>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</si>
  <si>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</si>
  <si>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</si>
  <si>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</si>
  <si>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</si>
  <si>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</si>
  <si>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</si>
  <si>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</si>
  <si>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</si>
  <si>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</si>
  <si>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</si>
  <si>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</si>
  <si>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</si>
  <si>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</si>
  <si>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</si>
  <si>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</si>
  <si>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</si>
  <si>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</si>
  <si>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</si>
  <si>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</si>
  <si>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</si>
  <si>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</si>
  <si>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</si>
  <si>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</si>
  <si>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</si>
  <si>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</si>
  <si>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</si>
  <si>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</si>
  <si>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</si>
  <si>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</si>
  <si>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</si>
  <si>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</si>
  <si>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</si>
  <si>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</si>
  <si>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</si>
  <si>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</si>
  <si>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</si>
  <si>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</si>
  <si>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</si>
  <si>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</si>
  <si>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</si>
  <si>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</si>
  <si>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</si>
  <si>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</si>
  <si>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</si>
  <si>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</si>
  <si>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</si>
  <si>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</si>
  <si>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</si>
  <si>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</si>
  <si>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</si>
  <si>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</si>
  <si>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</si>
  <si>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</si>
  <si>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</si>
  <si>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</si>
  <si>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</si>
  <si>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</si>
  <si>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</si>
  <si>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</si>
  <si>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</si>
  <si>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</si>
  <si>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</si>
  <si>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</si>
  <si>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</si>
  <si>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</si>
  <si>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</si>
  <si>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</si>
  <si>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</si>
  <si>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</si>
  <si>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</si>
  <si>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</si>
  <si>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</si>
  <si>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</si>
  <si>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</si>
  <si>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</si>
  <si>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</si>
  <si>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</si>
  <si>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</si>
  <si>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</si>
  <si>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</si>
  <si>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</si>
  <si>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</si>
  <si>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</si>
  <si>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</si>
  <si>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</si>
  <si>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</si>
  <si>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</si>
  <si>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</si>
  <si>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</si>
  <si>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</si>
  <si>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</si>
  <si>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</si>
  <si>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</si>
  <si>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</si>
  <si>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</si>
  <si>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</si>
  <si>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</si>
  <si>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</si>
  <si>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</si>
  <si>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</si>
  <si>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</si>
  <si>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</si>
  <si>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</si>
  <si>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</si>
  <si>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</si>
  <si>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</si>
  <si>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</si>
  <si>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</si>
  <si>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</si>
  <si>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</si>
  <si>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</si>
  <si>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</si>
  <si>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</si>
  <si>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</si>
  <si>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</si>
  <si>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</si>
  <si>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</si>
  <si>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</si>
  <si>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</si>
  <si>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</si>
  <si>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</si>
  <si>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</si>
  <si>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</si>
  <si>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</si>
  <si>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</si>
  <si>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</si>
  <si>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</si>
  <si>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</si>
  <si>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</si>
  <si>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</si>
  <si>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</si>
  <si>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</si>
  <si>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</si>
  <si>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</si>
  <si>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</si>
  <si>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</si>
  <si>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</si>
  <si>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</si>
  <si>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</si>
  <si>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</si>
  <si>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</si>
  <si>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</si>
  <si>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</si>
  <si>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</si>
  <si>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</si>
  <si>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</si>
  <si>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</si>
  <si>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</si>
  <si>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</si>
  <si>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</si>
  <si>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</si>
  <si>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</si>
  <si>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</si>
  <si>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</si>
  <si>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</si>
  <si>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</si>
  <si>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</si>
  <si>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</si>
  <si>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</si>
  <si>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</si>
  <si>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</si>
  <si>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</si>
  <si>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</si>
  <si>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</si>
  <si>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</si>
  <si>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</si>
  <si>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</si>
  <si>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</si>
  <si>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</si>
  <si>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</si>
  <si>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</si>
  <si>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</si>
  <si>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</si>
  <si>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</si>
  <si>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</si>
  <si>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</si>
  <si>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</si>
  <si>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</si>
  <si>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</si>
  <si>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</si>
  <si>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</si>
  <si>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</si>
  <si>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</si>
  <si>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</si>
  <si>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</si>
  <si>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</si>
  <si>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</si>
  <si>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</si>
  <si>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</si>
  <si>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</si>
  <si>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</si>
  <si>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</si>
  <si>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</si>
  <si>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</si>
  <si>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</si>
  <si>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</si>
  <si>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</si>
  <si>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</si>
  <si>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</si>
  <si>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</si>
  <si>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</si>
  <si>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</si>
  <si>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</si>
  <si>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</si>
  <si>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</si>
  <si>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</si>
  <si>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</si>
  <si>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</si>
  <si>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</si>
  <si>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</si>
  <si>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</si>
  <si>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</si>
  <si>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</si>
  <si>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</si>
  <si>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</si>
  <si>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</si>
  <si>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</si>
  <si>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</si>
  <si>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</si>
  <si>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</si>
  <si>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</si>
  <si>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</si>
  <si>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</si>
  <si>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</si>
  <si>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</si>
  <si>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</si>
  <si>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</si>
  <si>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</si>
  <si>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</si>
  <si>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</si>
  <si>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</si>
  <si>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</si>
  <si>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</si>
  <si>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</si>
  <si>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</si>
  <si>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</si>
  <si>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</si>
  <si>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</si>
  <si>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</si>
  <si>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</si>
  <si>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</si>
  <si>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</si>
  <si>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</si>
  <si>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</si>
  <si>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</si>
  <si>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</si>
  <si>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</si>
  <si>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</si>
  <si>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</si>
  <si>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</si>
  <si>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</si>
  <si>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</si>
  <si>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</si>
  <si>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</si>
  <si>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</si>
  <si>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</si>
  <si>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</si>
  <si>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</si>
  <si>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</si>
  <si>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</si>
  <si>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</si>
  <si>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</si>
  <si>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</si>
  <si>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</si>
  <si>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</si>
  <si>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</si>
  <si>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</si>
  <si>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</si>
  <si>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</si>
  <si>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</si>
  <si>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</si>
  <si>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</si>
  <si>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</si>
  <si>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</si>
  <si>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</si>
  <si>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</si>
  <si>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</si>
  <si>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</si>
  <si>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</si>
  <si>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</si>
  <si>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</si>
  <si>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</si>
  <si>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</si>
  <si>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</si>
  <si>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</si>
  <si>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</si>
  <si>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</si>
  <si>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</si>
  <si>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</si>
  <si>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</si>
  <si>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</si>
  <si>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</si>
  <si>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</si>
  <si>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</si>
  <si>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</si>
  <si>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</si>
  <si>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</si>
  <si>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</si>
  <si>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</si>
  <si>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</si>
  <si>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</si>
  <si>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</si>
  <si>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</si>
  <si>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</si>
  <si>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</si>
  <si>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</si>
  <si>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</si>
  <si>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</si>
  <si>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</si>
  <si>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</si>
  <si>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</si>
  <si>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</si>
  <si>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</si>
  <si>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</si>
  <si>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</si>
  <si>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</si>
  <si>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</si>
  <si>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</si>
  <si>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</si>
  <si>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</si>
  <si>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</si>
  <si>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</si>
  <si>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</si>
  <si>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</si>
  <si>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</si>
  <si>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</si>
  <si>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</si>
  <si>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</si>
  <si>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</si>
  <si>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</si>
  <si>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</si>
  <si>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</si>
  <si>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</si>
  <si>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</si>
  <si>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</si>
  <si>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</si>
  <si>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</si>
  <si>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</si>
  <si>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</si>
  <si>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</si>
  <si>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</si>
  <si>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</si>
  <si>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</si>
  <si>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</si>
  <si>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</si>
  <si>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</si>
  <si>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</si>
  <si>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</si>
  <si>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</si>
  <si>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</si>
  <si>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</si>
  <si>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</si>
  <si>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</si>
  <si>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</si>
  <si>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</si>
  <si>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</si>
  <si>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</si>
  <si>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</si>
  <si>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</si>
  <si>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</si>
  <si>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</si>
  <si>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</si>
  <si>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</si>
  <si>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</si>
  <si>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</si>
  <si>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</si>
  <si>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</si>
  <si>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</si>
  <si>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</si>
  <si>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</si>
  <si>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</si>
  <si>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</si>
  <si>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</si>
  <si>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</si>
  <si>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</si>
  <si>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</si>
  <si>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</si>
  <si>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</si>
  <si>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</si>
  <si>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</si>
  <si>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</si>
  <si>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</si>
  <si>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</si>
  <si>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</si>
  <si>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</si>
  <si>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</si>
  <si>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</si>
  <si>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</si>
  <si>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</si>
  <si>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</si>
  <si>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</si>
  <si>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</si>
  <si>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</si>
  <si>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</si>
  <si>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</si>
  <si>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</si>
  <si>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</si>
  <si>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</si>
  <si>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</si>
  <si>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</si>
  <si>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</si>
  <si>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</si>
  <si>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</si>
  <si>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</si>
  <si>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</si>
  <si>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</si>
  <si>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</si>
  <si>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</si>
  <si>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</si>
  <si>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</si>
  <si>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</si>
  <si>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</si>
  <si>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</si>
  <si>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</si>
  <si>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</si>
  <si>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</si>
  <si>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</si>
  <si>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</si>
  <si>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</si>
  <si>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</si>
  <si>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</si>
  <si>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</si>
  <si>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</si>
  <si>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</si>
  <si>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</si>
  <si>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</si>
  <si>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</si>
  <si>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</si>
  <si>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</si>
  <si>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</si>
  <si>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</si>
  <si>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</si>
  <si>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</si>
  <si>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</si>
  <si>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</si>
  <si>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</si>
  <si>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</si>
  <si>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</si>
  <si>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</si>
  <si>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</si>
  <si>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</si>
  <si>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</si>
  <si>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</si>
  <si>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</si>
  <si>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</si>
  <si>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</si>
  <si>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</si>
  <si>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</si>
  <si>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</si>
  <si>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</si>
  <si>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</si>
  <si>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</si>
  <si>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</si>
  <si>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</si>
  <si>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</si>
  <si>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</si>
  <si>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</si>
  <si>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</si>
  <si>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</si>
  <si>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</si>
  <si>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</si>
  <si>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</si>
  <si>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</si>
  <si>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</si>
  <si>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</si>
  <si>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</si>
  <si>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</si>
  <si>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</si>
  <si>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</si>
  <si>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</si>
  <si>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</si>
  <si>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</si>
  <si>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</si>
  <si>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</si>
  <si>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</si>
  <si>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</si>
  <si>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</si>
  <si>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</si>
  <si>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</si>
  <si>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</si>
  <si>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</si>
  <si>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</si>
  <si>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</si>
  <si>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</si>
  <si>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</si>
  <si>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</si>
  <si>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</si>
  <si>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</si>
  <si>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</si>
  <si>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</si>
  <si>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</si>
  <si>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</si>
  <si>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</si>
  <si>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</si>
  <si>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</si>
  <si>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</si>
  <si>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</si>
  <si>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</si>
  <si>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</si>
  <si>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</si>
  <si>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</si>
  <si>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</si>
  <si>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</si>
  <si>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</si>
  <si>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</si>
  <si>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</si>
  <si>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</si>
  <si>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</si>
  <si>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</si>
  <si>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</si>
  <si>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</si>
  <si>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</si>
  <si>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</si>
  <si>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</si>
  <si>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</si>
  <si>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</si>
  <si>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</si>
  <si>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</si>
  <si>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</si>
  <si>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</si>
  <si>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</si>
  <si>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</si>
  <si>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</si>
  <si>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</si>
  <si>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</si>
  <si>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</si>
  <si>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</si>
  <si>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</si>
  <si>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</si>
  <si>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</si>
  <si>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</si>
  <si>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</si>
  <si>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</si>
  <si>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</si>
  <si>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</si>
  <si>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</si>
  <si>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</si>
  <si>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</si>
  <si>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</si>
  <si>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</si>
  <si>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</si>
  <si>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</si>
  <si>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</si>
  <si>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</si>
  <si>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</si>
  <si>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</si>
  <si>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</si>
  <si>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</si>
  <si>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</si>
  <si>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</si>
  <si>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</si>
  <si>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</si>
  <si>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</si>
  <si>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</si>
  <si>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</si>
  <si>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</si>
  <si>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</si>
  <si>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</si>
  <si>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</si>
  <si>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</si>
  <si>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</si>
  <si>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</si>
  <si>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</si>
  <si>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</si>
  <si>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</si>
  <si>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</si>
  <si>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</si>
  <si>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</si>
  <si>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</si>
  <si>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</si>
  <si>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</si>
  <si>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</si>
  <si>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</si>
  <si>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</si>
  <si>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</si>
  <si>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</si>
  <si>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</si>
  <si>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</si>
  <si>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</si>
  <si>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</si>
  <si>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</si>
  <si>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</si>
  <si>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</si>
  <si>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</si>
  <si>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</si>
  <si>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</si>
  <si>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</si>
  <si>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</si>
  <si>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</si>
  <si>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</si>
  <si>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</si>
  <si>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</si>
  <si>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</si>
  <si>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</si>
  <si>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</si>
  <si>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</si>
  <si>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</si>
  <si>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</si>
  <si>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</si>
  <si>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</si>
  <si>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</si>
  <si>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</si>
  <si>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</si>
  <si>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</si>
  <si>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</si>
  <si>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</si>
  <si>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</si>
  <si>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</si>
  <si>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</si>
  <si>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</si>
  <si>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</si>
  <si>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</si>
  <si>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</si>
  <si>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</si>
  <si>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</si>
  <si>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</si>
  <si>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</si>
  <si>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</si>
  <si>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</si>
  <si>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</si>
  <si>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</si>
  <si>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</si>
  <si>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</si>
  <si>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</si>
  <si>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</si>
  <si>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</si>
  <si>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</si>
  <si>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</si>
  <si>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</si>
  <si>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</si>
  <si>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</si>
  <si>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</si>
  <si>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</si>
  <si>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</si>
  <si>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</si>
  <si>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</si>
  <si>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</si>
  <si>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</si>
  <si>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</si>
  <si>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</si>
  <si>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</si>
  <si>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</si>
  <si>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</si>
  <si>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</si>
  <si>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</si>
  <si>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</si>
  <si>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</si>
  <si>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</si>
  <si>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</si>
  <si>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</si>
  <si>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</si>
  <si>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</si>
  <si>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</si>
  <si>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</si>
  <si>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</si>
  <si>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</si>
  <si>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</si>
  <si>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</si>
  <si>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</si>
  <si>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</si>
  <si>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</si>
  <si>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</si>
  <si>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</si>
  <si>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</si>
  <si>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</si>
  <si>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</si>
  <si>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</si>
  <si>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</si>
  <si>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</si>
  <si>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</si>
  <si>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</si>
  <si>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</si>
  <si>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</si>
  <si>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</si>
  <si>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</si>
  <si>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</si>
  <si>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</si>
  <si>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</si>
  <si>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</si>
  <si>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</si>
  <si>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</si>
  <si>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</si>
  <si>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</si>
  <si>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</si>
  <si>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</si>
  <si>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</si>
  <si>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</si>
  <si>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</si>
  <si>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</si>
  <si>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</si>
  <si>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</si>
  <si>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</si>
  <si>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</si>
  <si>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</si>
  <si>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</si>
  <si>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</si>
  <si>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</si>
  <si>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</si>
  <si>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</si>
  <si>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</si>
  <si>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</si>
  <si>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</si>
  <si>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</si>
  <si>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</si>
  <si>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</si>
  <si>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</si>
  <si>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</si>
  <si>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</si>
  <si>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</si>
  <si>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</si>
  <si>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</si>
  <si>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</si>
  <si>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</si>
  <si>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</si>
  <si>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</si>
  <si>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</si>
  <si>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</si>
  <si>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</si>
  <si>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</si>
  <si>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</si>
  <si>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</si>
  <si>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</si>
  <si>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</si>
  <si>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</si>
  <si>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</si>
  <si>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</si>
  <si>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</si>
  <si>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</si>
  <si>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</si>
  <si>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</si>
  <si>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</si>
  <si>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</si>
  <si>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</si>
  <si>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</si>
  <si>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</si>
  <si>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</si>
  <si>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</si>
  <si>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</si>
  <si>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</si>
  <si>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</si>
  <si>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</si>
  <si>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</si>
  <si>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</si>
  <si>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</si>
  <si>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</si>
  <si>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</si>
  <si>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</si>
  <si>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</si>
  <si>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</si>
  <si>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</si>
  <si>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</si>
  <si>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</si>
  <si>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</si>
  <si>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</si>
  <si>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</si>
  <si>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</si>
  <si>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</si>
  <si>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</si>
  <si>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</si>
  <si>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</si>
  <si>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</si>
  <si>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</si>
  <si>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</si>
  <si>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</si>
  <si>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</si>
  <si>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</si>
  <si>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</si>
  <si>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</si>
  <si>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</si>
  <si>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</si>
  <si>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</si>
  <si>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</si>
  <si>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</si>
  <si>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</si>
  <si>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</si>
  <si>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</si>
  <si>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</si>
  <si>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</si>
  <si>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</si>
  <si>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</si>
  <si>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</si>
  <si>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</si>
  <si>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</si>
  <si>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</si>
  <si>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</si>
  <si>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</si>
  <si>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</si>
  <si>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</si>
  <si>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</si>
  <si>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</si>
  <si>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</si>
  <si>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</si>
  <si>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</si>
  <si>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</si>
  <si>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</si>
  <si>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</si>
  <si>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</si>
  <si>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</si>
  <si>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</si>
  <si>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</si>
  <si>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</si>
  <si>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</si>
  <si>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</si>
  <si>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</si>
  <si>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</si>
  <si>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</si>
  <si>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</si>
  <si>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</si>
  <si>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</si>
  <si>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</si>
  <si>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</si>
  <si>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</si>
  <si>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</si>
  <si>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</si>
  <si>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</si>
  <si>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</si>
  <si>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</si>
  <si>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</si>
  <si>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</si>
  <si>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</si>
  <si>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</si>
  <si>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</si>
  <si>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</si>
  <si>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</si>
  <si>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</si>
  <si>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</si>
  <si>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</si>
  <si>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</si>
  <si>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</si>
  <si>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</si>
  <si>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</si>
  <si>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</si>
  <si>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</si>
  <si>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</si>
  <si>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</si>
  <si>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</si>
  <si>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</si>
  <si>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</si>
  <si>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</si>
  <si>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</si>
  <si>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</si>
  <si>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</si>
  <si>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</si>
  <si>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</si>
  <si>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</si>
  <si>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</si>
  <si>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</si>
  <si>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</si>
  <si>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</si>
  <si>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</si>
  <si>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</si>
  <si>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</si>
  <si>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</si>
  <si>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Rollinsford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</si>
</sst>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620" activePane="bottomRight" state="frozen"/>
      <selection pane="topRight" activeCell="F1" sqref="F1"/>
      <selection pane="bottomLeft" activeCell="A4" sqref="A4"/>
      <selection pane="bottomRight" activeCell="H543" sqref="H54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4" t="s">
        <v>909</v>
      </c>
      <c r="B2" s="21">
        <v>463</v>
      </c>
      <c r="C2" s="21">
        <v>463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2" t="s">
        <v>281</v>
      </c>
      <c r="G6" s="222" t="s">
        <v>282</v>
      </c>
      <c r="H6" s="222" t="s">
        <v>283</v>
      </c>
      <c r="I6" s="222" t="s">
        <v>284</v>
      </c>
      <c r="J6" s="222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2"/>
      <c r="G7" s="223"/>
      <c r="H7" s="222" t="s">
        <v>772</v>
      </c>
      <c r="I7" s="223"/>
      <c r="J7" s="223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317527.96999999997</v>
      </c>
      <c r="G9" s="18">
        <v>0</v>
      </c>
      <c r="H9" s="18">
        <v>0</v>
      </c>
      <c r="I9" s="18">
        <v>0</v>
      </c>
      <c r="J9" s="66">
        <f>SUM(I438)</f>
        <v>0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1009.9</v>
      </c>
      <c r="G10" s="18">
        <v>0</v>
      </c>
      <c r="H10" s="18">
        <v>0</v>
      </c>
      <c r="I10" s="18">
        <v>0</v>
      </c>
      <c r="J10" s="66">
        <f>SUM(I439)</f>
        <v>98572.479999999996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92895.87+55100.28</f>
        <v>147996.15</v>
      </c>
      <c r="G12" s="18">
        <v>54109.04</v>
      </c>
      <c r="H12" s="18">
        <f>77221.2-25909.47</f>
        <v>51311.729999999996</v>
      </c>
      <c r="I12" s="18">
        <v>0</v>
      </c>
      <c r="J12" s="66">
        <f>SUM(I440)</f>
        <v>0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14171.68</v>
      </c>
      <c r="G13" s="18">
        <v>6643.54</v>
      </c>
      <c r="H13" s="18">
        <v>18837.98</v>
      </c>
      <c r="I13" s="18">
        <v>0</v>
      </c>
      <c r="J13" s="66">
        <f>SUM(I441)</f>
        <v>0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6">
        <f>SUM(I442)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SUM(I443)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SUM(I444)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480705.7</v>
      </c>
      <c r="G19" s="41">
        <f>SUM(G9:G18)</f>
        <v>60752.58</v>
      </c>
      <c r="H19" s="41">
        <f>SUM(H9:H18)</f>
        <v>70149.709999999992</v>
      </c>
      <c r="I19" s="41">
        <f>SUM(I9:I18)</f>
        <v>0</v>
      </c>
      <c r="J19" s="41">
        <f>SUM(J9:J18)</f>
        <v>98572.479999999996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7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77221.2+54109.03</f>
        <v>131330.22999999998</v>
      </c>
      <c r="G22" s="18">
        <f>51042.54+4057.74</f>
        <v>55100.28</v>
      </c>
      <c r="H22" s="18">
        <v>66987.399999999994</v>
      </c>
      <c r="I22" s="18">
        <v>0</v>
      </c>
      <c r="J22" s="66">
        <f>SUM(I447)</f>
        <v>0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f>13901.6+2694.3</f>
        <v>16595.900000000001</v>
      </c>
      <c r="G23" s="18">
        <v>0</v>
      </c>
      <c r="H23" s="18">
        <f>2637.02+525.29</f>
        <v>3162.31</v>
      </c>
      <c r="I23" s="18">
        <v>0</v>
      </c>
      <c r="J23" s="66">
        <f>SUM(I448)</f>
        <v>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44577.56</v>
      </c>
      <c r="G24" s="18">
        <v>0</v>
      </c>
      <c r="H24" s="18">
        <v>0</v>
      </c>
      <c r="I24" s="18">
        <v>0</v>
      </c>
      <c r="J24" s="66">
        <f>SUM(I449)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6">
        <f>SUM(I450)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192503.68999999997</v>
      </c>
      <c r="G32" s="41">
        <f>SUM(G22:G31)</f>
        <v>55100.28</v>
      </c>
      <c r="H32" s="41">
        <f>SUM(H22:H31)</f>
        <v>70149.709999999992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 t="b">
        <f>3408.47=1550.41</f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43350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69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0</v>
      </c>
      <c r="H47" s="18">
        <v>0</v>
      </c>
      <c r="I47" s="18">
        <v>0</v>
      </c>
      <c r="J47" s="13">
        <f>SUM(I458)</f>
        <v>98572.479999999996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f>3408.47+2243.83</f>
        <v>5652.2999999999993</v>
      </c>
      <c r="H48" s="18">
        <v>0</v>
      </c>
      <c r="I48" s="18">
        <v>0</v>
      </c>
      <c r="J48" s="13">
        <f>I453</f>
        <v>0</v>
      </c>
      <c r="K48" s="24"/>
      <c r="L48" s="24"/>
      <c r="M48" s="8"/>
      <c r="N48" s="269"/>
    </row>
    <row r="49" spans="1:14" s="3" customFormat="1" ht="12" customHeight="1" thickBot="1" x14ac:dyDescent="0.2">
      <c r="A49" s="29" t="s">
        <v>856</v>
      </c>
      <c r="B49" s="2" t="s">
        <v>290</v>
      </c>
      <c r="C49" s="70">
        <v>34</v>
      </c>
      <c r="D49" s="2" t="s">
        <v>657</v>
      </c>
      <c r="E49" s="6">
        <v>770</v>
      </c>
      <c r="F49" s="18">
        <v>244852.01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69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288202.01</v>
      </c>
      <c r="G50" s="41">
        <f>SUM(G35:G49)</f>
        <v>5652.2999999999993</v>
      </c>
      <c r="H50" s="41">
        <f>SUM(H35:H49)</f>
        <v>0</v>
      </c>
      <c r="I50" s="41">
        <f>SUM(I35:I49)</f>
        <v>0</v>
      </c>
      <c r="J50" s="41">
        <f>SUM(J35:J49)</f>
        <v>98572.479999999996</v>
      </c>
      <c r="K50" s="45" t="s">
        <v>289</v>
      </c>
      <c r="L50" s="45" t="s">
        <v>289</v>
      </c>
      <c r="N50" s="267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480705.69999999995</v>
      </c>
      <c r="G51" s="41">
        <f>G50+G32</f>
        <v>60752.58</v>
      </c>
      <c r="H51" s="41">
        <f>H50+H32</f>
        <v>70149.709999999992</v>
      </c>
      <c r="I51" s="41">
        <f>I50+I32</f>
        <v>0</v>
      </c>
      <c r="J51" s="41">
        <f>J50+J32</f>
        <v>98572.479999999996</v>
      </c>
      <c r="K51" s="45" t="s">
        <v>289</v>
      </c>
      <c r="L51" s="45" t="s">
        <v>289</v>
      </c>
      <c r="M51" s="8"/>
      <c r="N51" s="269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69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69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69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69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3843189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  <c r="N57" s="269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  <c r="N58" s="270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3843189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0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69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0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69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267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69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69"/>
    </row>
    <row r="80" spans="1:14" s="3" customFormat="1" ht="12" customHeight="1" x14ac:dyDescent="0.2">
      <c r="A80" s="168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69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69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69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69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69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228.44</v>
      </c>
      <c r="G95" s="18">
        <v>0</v>
      </c>
      <c r="H95" s="18">
        <v>0</v>
      </c>
      <c r="I95" s="18">
        <v>0</v>
      </c>
      <c r="J95" s="18">
        <v>26.06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19868.75+551.2+7.15-631.82+2020.3+742.85</f>
        <v>22558.43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f>2200+3922.17</f>
        <v>6122.17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  <c r="N109" s="269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6350.61</v>
      </c>
      <c r="G110" s="41">
        <f>SUM(G95:G109)</f>
        <v>22558.43</v>
      </c>
      <c r="H110" s="41">
        <f>SUM(H95:H109)</f>
        <v>0</v>
      </c>
      <c r="I110" s="41">
        <f>SUM(I95:I109)</f>
        <v>0</v>
      </c>
      <c r="J110" s="41">
        <f>SUM(J95:J109)</f>
        <v>26.06</v>
      </c>
      <c r="K110" s="45" t="s">
        <v>289</v>
      </c>
      <c r="L110" s="45" t="s">
        <v>289</v>
      </c>
      <c r="N110" s="267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3849539.61</v>
      </c>
      <c r="G111" s="41">
        <f>G59+G110</f>
        <v>22558.43</v>
      </c>
      <c r="H111" s="41">
        <f>H59+H78+H93+H110</f>
        <v>0</v>
      </c>
      <c r="I111" s="41">
        <f>I59+I110</f>
        <v>0</v>
      </c>
      <c r="J111" s="41">
        <f>J59+J110</f>
        <v>26.06</v>
      </c>
      <c r="K111" s="45" t="s">
        <v>289</v>
      </c>
      <c r="L111" s="45" t="s">
        <v>289</v>
      </c>
      <c r="M111" s="8"/>
      <c r="N111" s="269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69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69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69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69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539059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621380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  <c r="N119" s="269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1160439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69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69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0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  <c r="N123" s="269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69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6721.81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663.42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69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  <c r="N134" s="269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6721.81</v>
      </c>
      <c r="G135" s="41">
        <f>SUM(G122:G134)</f>
        <v>663.42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69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69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1167160.81</v>
      </c>
      <c r="G139" s="41">
        <f>G120+SUM(G135:G136)</f>
        <v>663.42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69"/>
    </row>
    <row r="140" spans="1:14" s="3" customFormat="1" ht="12" customHeight="1" x14ac:dyDescent="0.2">
      <c r="A140" s="69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69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69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1" t="s">
        <v>772</v>
      </c>
      <c r="I142" s="16" t="s">
        <v>284</v>
      </c>
      <c r="J142" s="16" t="s">
        <v>285</v>
      </c>
      <c r="K142" s="20"/>
      <c r="L142" s="20"/>
      <c r="M142" s="8"/>
      <c r="N142" s="269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69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69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69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49436.11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19645.169999999998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0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20962.310000000001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20962.310000000001</v>
      </c>
      <c r="G161" s="41">
        <f>SUM(G149:G160)</f>
        <v>19645.169999999998</v>
      </c>
      <c r="H161" s="41">
        <f>SUM(H149:H160)</f>
        <v>49436.11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69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  <c r="N162" s="269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20962.310000000001</v>
      </c>
      <c r="G168" s="41">
        <f>G146+G161+SUM(G162:G167)</f>
        <v>19645.169999999998</v>
      </c>
      <c r="H168" s="41">
        <f>H146+H161+SUM(H162:H167)</f>
        <v>49436.11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69"/>
    </row>
    <row r="169" spans="1:14" s="3" customFormat="1" ht="12" customHeight="1" x14ac:dyDescent="0.2">
      <c r="A169" s="69"/>
      <c r="B169" s="36"/>
      <c r="C169" s="74"/>
      <c r="D169" s="74"/>
      <c r="E169" s="74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69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69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1" t="s">
        <v>772</v>
      </c>
      <c r="I171" s="16" t="s">
        <v>284</v>
      </c>
      <c r="J171" s="16" t="s">
        <v>285</v>
      </c>
      <c r="K171" s="20"/>
      <c r="L171" s="20"/>
      <c r="M171" s="8"/>
      <c r="N171" s="269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  <c r="N172" s="269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69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69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10000</v>
      </c>
      <c r="H178" s="18">
        <v>0</v>
      </c>
      <c r="I178" s="18">
        <v>0</v>
      </c>
      <c r="J178" s="18">
        <v>20000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69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  <c r="N181" s="269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10000</v>
      </c>
      <c r="H182" s="41">
        <f>SUM(H178:H181)</f>
        <v>0</v>
      </c>
      <c r="I182" s="41">
        <f>SUM(I178:I181)</f>
        <v>0</v>
      </c>
      <c r="J182" s="41">
        <f>SUM(J178:J181)</f>
        <v>20000</v>
      </c>
      <c r="K182" s="45" t="s">
        <v>289</v>
      </c>
      <c r="L182" s="45" t="s">
        <v>289</v>
      </c>
      <c r="M182" s="8"/>
      <c r="N182" s="269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69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N186" s="267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67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  <c r="N188" s="269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4" t="s">
        <v>431</v>
      </c>
      <c r="E191" s="51">
        <v>5000</v>
      </c>
      <c r="F191" s="41">
        <f>F176+F182+SUM(F187:F190)</f>
        <v>0</v>
      </c>
      <c r="G191" s="41">
        <f>G182+SUM(G187:G190)</f>
        <v>10000</v>
      </c>
      <c r="H191" s="41">
        <f>+H182+SUM(H187:H190)</f>
        <v>0</v>
      </c>
      <c r="I191" s="41">
        <f>I176+I182+SUM(I187:I190)</f>
        <v>0</v>
      </c>
      <c r="J191" s="41">
        <f>J182</f>
        <v>20000</v>
      </c>
      <c r="K191" s="45" t="s">
        <v>289</v>
      </c>
      <c r="L191" s="45" t="s">
        <v>289</v>
      </c>
      <c r="M191" s="8"/>
      <c r="N191" s="269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5" t="s">
        <v>431</v>
      </c>
      <c r="E192" s="44"/>
      <c r="F192" s="47">
        <f>F111+F139+F168+F191</f>
        <v>5037662.7299999995</v>
      </c>
      <c r="G192" s="47">
        <f>G111+G139+G168+G191</f>
        <v>52867.02</v>
      </c>
      <c r="H192" s="47">
        <f>H111+H139+H168+H191</f>
        <v>49436.11</v>
      </c>
      <c r="I192" s="47">
        <f>I111+I139+I168+I191</f>
        <v>0</v>
      </c>
      <c r="J192" s="47">
        <f>J111+J139+J191</f>
        <v>20026.060000000001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5" t="s">
        <v>693</v>
      </c>
      <c r="G193" s="175" t="s">
        <v>694</v>
      </c>
      <c r="H193" s="175" t="s">
        <v>695</v>
      </c>
      <c r="I193" s="175" t="s">
        <v>696</v>
      </c>
      <c r="J193" s="175" t="s">
        <v>697</v>
      </c>
      <c r="K193" s="175" t="s">
        <v>698</v>
      </c>
      <c r="L193" s="56"/>
      <c r="M193" s="8"/>
      <c r="N193" s="269"/>
    </row>
    <row r="194" spans="1:14" s="3" customFormat="1" ht="12" customHeight="1" x14ac:dyDescent="0.15">
      <c r="A194" s="29" t="s">
        <v>452</v>
      </c>
      <c r="F194" s="102" t="s">
        <v>54</v>
      </c>
      <c r="G194" s="102" t="s">
        <v>55</v>
      </c>
      <c r="H194" s="102" t="s">
        <v>56</v>
      </c>
      <c r="I194" s="102" t="s">
        <v>57</v>
      </c>
      <c r="J194" s="102" t="s">
        <v>58</v>
      </c>
      <c r="K194" s="102" t="s">
        <v>59</v>
      </c>
      <c r="L194" s="102" t="s">
        <v>5</v>
      </c>
      <c r="M194" s="8"/>
      <c r="N194" s="269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69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879546.36</v>
      </c>
      <c r="G196" s="18">
        <v>388223.3</v>
      </c>
      <c r="H196" s="18">
        <v>36081.699999999953</v>
      </c>
      <c r="I196" s="18">
        <v>30332.85</v>
      </c>
      <c r="J196" s="18">
        <v>45063.29</v>
      </c>
      <c r="K196" s="18">
        <v>0</v>
      </c>
      <c r="L196" s="19">
        <f>SUM(F196:K196)</f>
        <v>1379247.5</v>
      </c>
      <c r="M196" s="8"/>
      <c r="N196" s="269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387194.01</v>
      </c>
      <c r="G197" s="18">
        <v>115870.38</v>
      </c>
      <c r="H197" s="18">
        <v>31956.74000000002</v>
      </c>
      <c r="I197" s="18">
        <v>3264.13</v>
      </c>
      <c r="J197" s="18">
        <v>4236.93</v>
      </c>
      <c r="K197" s="18">
        <v>0</v>
      </c>
      <c r="L197" s="19">
        <f>SUM(F197:K197)</f>
        <v>542522.19000000006</v>
      </c>
      <c r="M197" s="8"/>
      <c r="N197" s="269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69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1840</v>
      </c>
      <c r="G199" s="18">
        <v>207.89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2047.8899999999999</v>
      </c>
      <c r="M199" s="8"/>
      <c r="N199" s="269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69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170270</v>
      </c>
      <c r="G201" s="18">
        <v>95197.27</v>
      </c>
      <c r="H201" s="18">
        <v>43778.47</v>
      </c>
      <c r="I201" s="18">
        <v>848.88</v>
      </c>
      <c r="J201" s="18">
        <v>274</v>
      </c>
      <c r="K201" s="18">
        <v>0</v>
      </c>
      <c r="L201" s="19">
        <f t="shared" ref="L201:L207" si="0">SUM(F201:K201)</f>
        <v>310368.62</v>
      </c>
      <c r="M201" s="8"/>
      <c r="N201" s="269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35497.5</v>
      </c>
      <c r="G202" s="18">
        <v>8957.74</v>
      </c>
      <c r="H202" s="18">
        <v>6752.18</v>
      </c>
      <c r="I202" s="18">
        <v>3221.62</v>
      </c>
      <c r="J202" s="18">
        <v>596.79</v>
      </c>
      <c r="K202" s="18">
        <v>1296.75</v>
      </c>
      <c r="L202" s="19">
        <f t="shared" si="0"/>
        <v>56322.58</v>
      </c>
      <c r="M202" s="8"/>
      <c r="N202" s="269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10209.630000000001</v>
      </c>
      <c r="G203" s="18">
        <v>1051.72</v>
      </c>
      <c r="H203" s="18">
        <v>200680.06</v>
      </c>
      <c r="I203" s="18">
        <v>75.290000000000006</v>
      </c>
      <c r="J203" s="18">
        <v>0</v>
      </c>
      <c r="K203" s="18">
        <v>3114.3</v>
      </c>
      <c r="L203" s="19">
        <f t="shared" si="0"/>
        <v>215131</v>
      </c>
      <c r="M203" s="8"/>
      <c r="N203" s="269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115763.52</v>
      </c>
      <c r="G204" s="18">
        <v>41149.120000000003</v>
      </c>
      <c r="H204" s="18">
        <v>1110.93</v>
      </c>
      <c r="I204" s="18">
        <v>1091.82</v>
      </c>
      <c r="J204" s="18">
        <v>0</v>
      </c>
      <c r="K204" s="18">
        <v>0</v>
      </c>
      <c r="L204" s="19">
        <f t="shared" si="0"/>
        <v>159115.39000000001</v>
      </c>
      <c r="M204" s="8"/>
      <c r="N204" s="269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69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72701.7</v>
      </c>
      <c r="G206" s="18">
        <v>38965.99</v>
      </c>
      <c r="H206" s="18">
        <v>118002.25</v>
      </c>
      <c r="I206" s="18">
        <v>63616.639999999999</v>
      </c>
      <c r="J206" s="18">
        <v>8000.4</v>
      </c>
      <c r="K206" s="18">
        <v>0</v>
      </c>
      <c r="L206" s="19">
        <f t="shared" si="0"/>
        <v>301286.98000000004</v>
      </c>
      <c r="M206" s="8"/>
      <c r="N206" s="269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118780.29915094341</v>
      </c>
      <c r="I207" s="18">
        <v>0</v>
      </c>
      <c r="J207" s="18">
        <v>0</v>
      </c>
      <c r="K207" s="18">
        <v>0</v>
      </c>
      <c r="L207" s="19">
        <f t="shared" si="0"/>
        <v>118780.29915094341</v>
      </c>
      <c r="M207" s="8"/>
      <c r="N207" s="269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  <c r="N208" s="269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69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1673022.72</v>
      </c>
      <c r="G210" s="41">
        <f t="shared" si="1"/>
        <v>689623.40999999992</v>
      </c>
      <c r="H210" s="41">
        <f t="shared" si="1"/>
        <v>557142.62915094336</v>
      </c>
      <c r="I210" s="41">
        <f t="shared" si="1"/>
        <v>102451.23</v>
      </c>
      <c r="J210" s="41">
        <f t="shared" si="1"/>
        <v>58171.41</v>
      </c>
      <c r="K210" s="41">
        <f t="shared" si="1"/>
        <v>4411.05</v>
      </c>
      <c r="L210" s="41">
        <f t="shared" si="1"/>
        <v>3084822.4491509432</v>
      </c>
      <c r="M210" s="8"/>
      <c r="N210" s="269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5" t="s">
        <v>693</v>
      </c>
      <c r="G211" s="175" t="s">
        <v>694</v>
      </c>
      <c r="H211" s="175" t="s">
        <v>695</v>
      </c>
      <c r="I211" s="175" t="s">
        <v>696</v>
      </c>
      <c r="J211" s="175" t="s">
        <v>697</v>
      </c>
      <c r="K211" s="175" t="s">
        <v>698</v>
      </c>
      <c r="L211" s="66"/>
      <c r="M211" s="8"/>
      <c r="N211" s="269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2" t="s">
        <v>54</v>
      </c>
      <c r="G212" s="102" t="s">
        <v>55</v>
      </c>
      <c r="H212" s="102" t="s">
        <v>56</v>
      </c>
      <c r="I212" s="102" t="s">
        <v>57</v>
      </c>
      <c r="J212" s="102" t="s">
        <v>58</v>
      </c>
      <c r="K212" s="102" t="s">
        <v>59</v>
      </c>
      <c r="L212" s="102" t="s">
        <v>5</v>
      </c>
      <c r="M212" s="8"/>
      <c r="N212" s="269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69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>
        <v>506490.25</v>
      </c>
      <c r="I214" s="18">
        <v>0</v>
      </c>
      <c r="J214" s="18">
        <v>0</v>
      </c>
      <c r="K214" s="18">
        <v>0</v>
      </c>
      <c r="L214" s="19">
        <f>SUM(F214:K214)</f>
        <v>506490.25</v>
      </c>
      <c r="M214" s="8"/>
      <c r="N214" s="269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69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69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69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69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 t="shared" ref="L219:L225" si="2">SUM(F219:K219)</f>
        <v>0</v>
      </c>
      <c r="M219" s="8"/>
      <c r="N219" s="269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si="2"/>
        <v>0</v>
      </c>
      <c r="M220" s="8"/>
      <c r="N220" s="269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69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69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69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69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27261.052264150945</v>
      </c>
      <c r="I225" s="18">
        <v>0</v>
      </c>
      <c r="J225" s="18">
        <v>0</v>
      </c>
      <c r="K225" s="18">
        <v>0</v>
      </c>
      <c r="L225" s="19">
        <f t="shared" si="2"/>
        <v>27261.052264150945</v>
      </c>
      <c r="M225" s="8"/>
      <c r="N225" s="269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  <c r="N226" s="269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69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533751.30226415093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533751.30226415093</v>
      </c>
      <c r="M228" s="8"/>
      <c r="N228" s="269"/>
    </row>
    <row r="229" spans="1:14" s="3" customFormat="1" ht="12" customHeight="1" x14ac:dyDescent="0.15">
      <c r="A229" s="55" t="s">
        <v>466</v>
      </c>
      <c r="B229" s="36"/>
      <c r="C229" s="74"/>
      <c r="D229" s="74"/>
      <c r="E229" s="74"/>
      <c r="F229" s="175" t="s">
        <v>693</v>
      </c>
      <c r="G229" s="175" t="s">
        <v>694</v>
      </c>
      <c r="H229" s="175" t="s">
        <v>695</v>
      </c>
      <c r="I229" s="175" t="s">
        <v>696</v>
      </c>
      <c r="J229" s="175" t="s">
        <v>697</v>
      </c>
      <c r="K229" s="175" t="s">
        <v>698</v>
      </c>
      <c r="L229" s="66"/>
      <c r="M229" s="8"/>
      <c r="N229" s="269"/>
    </row>
    <row r="230" spans="1:14" s="3" customFormat="1" ht="12" customHeight="1" x14ac:dyDescent="0.15">
      <c r="A230" s="29" t="s">
        <v>454</v>
      </c>
      <c r="F230" s="102" t="s">
        <v>54</v>
      </c>
      <c r="G230" s="102" t="s">
        <v>55</v>
      </c>
      <c r="H230" s="102" t="s">
        <v>56</v>
      </c>
      <c r="I230" s="102" t="s">
        <v>57</v>
      </c>
      <c r="J230" s="102" t="s">
        <v>58</v>
      </c>
      <c r="K230" s="102" t="s">
        <v>59</v>
      </c>
      <c r="L230" s="102" t="s">
        <v>5</v>
      </c>
      <c r="M230" s="8"/>
      <c r="N230" s="269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69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1077824.44</v>
      </c>
      <c r="I232" s="18">
        <v>0</v>
      </c>
      <c r="J232" s="18">
        <v>0</v>
      </c>
      <c r="K232" s="18">
        <v>0</v>
      </c>
      <c r="L232" s="19">
        <f>SUM(F232:K232)</f>
        <v>1077824.44</v>
      </c>
      <c r="M232" s="8"/>
      <c r="N232" s="269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v>147367.76999999999</v>
      </c>
      <c r="I233" s="18">
        <v>0</v>
      </c>
      <c r="J233" s="18">
        <v>0</v>
      </c>
      <c r="K233" s="18">
        <v>0</v>
      </c>
      <c r="L233" s="19">
        <f>SUM(F233:K233)</f>
        <v>147367.76999999999</v>
      </c>
      <c r="M233" s="8"/>
      <c r="N233" s="269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  <c r="N234" s="269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69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69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 t="shared" ref="L237:L243" si="4">SUM(F237:K237)</f>
        <v>0</v>
      </c>
      <c r="M237" s="8"/>
      <c r="N237" s="269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  <c r="N238" s="269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69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69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69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69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60363.758584905663</v>
      </c>
      <c r="I243" s="18">
        <v>0</v>
      </c>
      <c r="J243" s="18">
        <v>0</v>
      </c>
      <c r="K243" s="18">
        <v>0</v>
      </c>
      <c r="L243" s="19">
        <f t="shared" si="4"/>
        <v>60363.758584905663</v>
      </c>
      <c r="M243" s="8"/>
      <c r="N243" s="269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  <c r="N244" s="269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69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1285555.9685849056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1285555.9685849056</v>
      </c>
      <c r="M246" s="8"/>
      <c r="N246" s="269"/>
    </row>
    <row r="247" spans="1:14" s="3" customFormat="1" ht="12" customHeight="1" x14ac:dyDescent="0.15">
      <c r="A247" s="69"/>
      <c r="B247" s="36"/>
      <c r="C247" s="37"/>
      <c r="D247" s="37"/>
      <c r="E247" s="37"/>
      <c r="F247" s="175" t="s">
        <v>693</v>
      </c>
      <c r="G247" s="175" t="s">
        <v>694</v>
      </c>
      <c r="H247" s="175" t="s">
        <v>695</v>
      </c>
      <c r="I247" s="175" t="s">
        <v>696</v>
      </c>
      <c r="J247" s="175" t="s">
        <v>697</v>
      </c>
      <c r="K247" s="175" t="s">
        <v>698</v>
      </c>
      <c r="L247" s="66"/>
      <c r="M247" s="8"/>
      <c r="N247" s="269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2" t="s">
        <v>54</v>
      </c>
      <c r="G248" s="102" t="s">
        <v>55</v>
      </c>
      <c r="H248" s="102" t="s">
        <v>56</v>
      </c>
      <c r="I248" s="102" t="s">
        <v>57</v>
      </c>
      <c r="J248" s="102" t="s">
        <v>58</v>
      </c>
      <c r="K248" s="102" t="s">
        <v>59</v>
      </c>
      <c r="L248" s="102" t="s">
        <v>5</v>
      </c>
      <c r="M248" s="8"/>
      <c r="N248" s="269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  <c r="N249" s="269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  <c r="N250" s="269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69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69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69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69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1673022.72</v>
      </c>
      <c r="G256" s="41">
        <f t="shared" si="8"/>
        <v>689623.40999999992</v>
      </c>
      <c r="H256" s="41">
        <f t="shared" si="8"/>
        <v>2376449.9</v>
      </c>
      <c r="I256" s="41">
        <f t="shared" si="8"/>
        <v>102451.23</v>
      </c>
      <c r="J256" s="41">
        <f t="shared" si="8"/>
        <v>58171.41</v>
      </c>
      <c r="K256" s="41">
        <f t="shared" si="8"/>
        <v>4411.05</v>
      </c>
      <c r="L256" s="41">
        <f t="shared" si="8"/>
        <v>4904129.72</v>
      </c>
      <c r="M256" s="8"/>
      <c r="N256" s="269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69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69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69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67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67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10000</v>
      </c>
      <c r="L262" s="19">
        <f>SUM(F262:K262)</f>
        <v>10000</v>
      </c>
      <c r="N262" s="267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267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267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</v>
      </c>
      <c r="L265" s="19">
        <f t="shared" si="9"/>
        <v>20000</v>
      </c>
      <c r="N265" s="267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67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  <c r="N267" s="267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67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30000</v>
      </c>
      <c r="L269" s="41">
        <f t="shared" si="9"/>
        <v>30000</v>
      </c>
      <c r="N269" s="267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1673022.72</v>
      </c>
      <c r="G270" s="42">
        <f t="shared" si="11"/>
        <v>689623.40999999992</v>
      </c>
      <c r="H270" s="42">
        <f t="shared" si="11"/>
        <v>2376449.9</v>
      </c>
      <c r="I270" s="42">
        <f t="shared" si="11"/>
        <v>102451.23</v>
      </c>
      <c r="J270" s="42">
        <f t="shared" si="11"/>
        <v>58171.41</v>
      </c>
      <c r="K270" s="42">
        <f t="shared" si="11"/>
        <v>34411.050000000003</v>
      </c>
      <c r="L270" s="42">
        <f t="shared" si="11"/>
        <v>4934129.72</v>
      </c>
      <c r="M270" s="8"/>
      <c r="N270" s="269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69"/>
    </row>
    <row r="272" spans="1:14" s="3" customFormat="1" ht="12" customHeight="1" x14ac:dyDescent="0.15">
      <c r="A272" s="29" t="s">
        <v>467</v>
      </c>
      <c r="F272" s="175" t="s">
        <v>693</v>
      </c>
      <c r="G272" s="175" t="s">
        <v>694</v>
      </c>
      <c r="H272" s="175" t="s">
        <v>695</v>
      </c>
      <c r="I272" s="175" t="s">
        <v>696</v>
      </c>
      <c r="J272" s="175" t="s">
        <v>697</v>
      </c>
      <c r="K272" s="175" t="s">
        <v>698</v>
      </c>
      <c r="M272" s="8"/>
      <c r="N272" s="269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2" t="s">
        <v>54</v>
      </c>
      <c r="G273" s="102" t="s">
        <v>55</v>
      </c>
      <c r="H273" s="102" t="s">
        <v>56</v>
      </c>
      <c r="I273" s="102" t="s">
        <v>57</v>
      </c>
      <c r="J273" s="102" t="s">
        <v>58</v>
      </c>
      <c r="K273" s="102" t="s">
        <v>59</v>
      </c>
      <c r="L273" s="102" t="s">
        <v>5</v>
      </c>
      <c r="M273" s="8"/>
      <c r="N273" s="269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69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10000</v>
      </c>
      <c r="G275" s="18">
        <v>0</v>
      </c>
      <c r="H275" s="18">
        <v>1000</v>
      </c>
      <c r="I275" s="18">
        <v>0</v>
      </c>
      <c r="J275" s="18">
        <v>0</v>
      </c>
      <c r="K275" s="18">
        <v>0</v>
      </c>
      <c r="L275" s="19">
        <f>SUM(F275:K275)</f>
        <v>11000</v>
      </c>
      <c r="M275" s="8"/>
      <c r="N275" s="269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20181.580000000002</v>
      </c>
      <c r="G276" s="18">
        <v>3230.92</v>
      </c>
      <c r="H276" s="18">
        <v>2375</v>
      </c>
      <c r="I276" s="18">
        <v>6309.31</v>
      </c>
      <c r="J276" s="18">
        <v>0</v>
      </c>
      <c r="K276" s="18">
        <v>0</v>
      </c>
      <c r="L276" s="19">
        <f>SUM(F276:K276)</f>
        <v>32096.81</v>
      </c>
      <c r="M276" s="8"/>
      <c r="N276" s="269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69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69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69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102.43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102.43</v>
      </c>
      <c r="M280" s="8"/>
      <c r="N280" s="269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0</v>
      </c>
      <c r="G281" s="18">
        <v>0</v>
      </c>
      <c r="H281" s="18">
        <v>675</v>
      </c>
      <c r="I281" s="18">
        <v>0</v>
      </c>
      <c r="J281" s="18">
        <v>0</v>
      </c>
      <c r="K281" s="18">
        <v>0</v>
      </c>
      <c r="L281" s="19">
        <f t="shared" si="12"/>
        <v>675</v>
      </c>
      <c r="M281" s="8"/>
      <c r="N281" s="269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69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69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3704</v>
      </c>
      <c r="G284" s="18">
        <v>283.29000000000002</v>
      </c>
      <c r="H284" s="18">
        <v>0</v>
      </c>
      <c r="I284" s="18">
        <v>0</v>
      </c>
      <c r="J284" s="18">
        <v>0</v>
      </c>
      <c r="K284" s="18">
        <v>1574.58</v>
      </c>
      <c r="L284" s="19">
        <f t="shared" si="12"/>
        <v>5561.87</v>
      </c>
      <c r="M284" s="8"/>
      <c r="N284" s="269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69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69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69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69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33885.58</v>
      </c>
      <c r="G289" s="42">
        <f t="shared" si="13"/>
        <v>3616.64</v>
      </c>
      <c r="H289" s="42">
        <f t="shared" si="13"/>
        <v>4050</v>
      </c>
      <c r="I289" s="42">
        <f t="shared" si="13"/>
        <v>6309.31</v>
      </c>
      <c r="J289" s="42">
        <f t="shared" si="13"/>
        <v>0</v>
      </c>
      <c r="K289" s="42">
        <f t="shared" si="13"/>
        <v>1574.58</v>
      </c>
      <c r="L289" s="41">
        <f t="shared" si="13"/>
        <v>49436.11</v>
      </c>
      <c r="M289" s="8"/>
      <c r="N289" s="269"/>
    </row>
    <row r="290" spans="1:14" s="3" customFormat="1" ht="12" customHeight="1" x14ac:dyDescent="0.2">
      <c r="A290" s="69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6"/>
      <c r="M290" s="8"/>
      <c r="N290" s="269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5" t="s">
        <v>693</v>
      </c>
      <c r="G291" s="175" t="s">
        <v>694</v>
      </c>
      <c r="H291" s="175" t="s">
        <v>695</v>
      </c>
      <c r="I291" s="175" t="s">
        <v>696</v>
      </c>
      <c r="J291" s="175" t="s">
        <v>697</v>
      </c>
      <c r="K291" s="175" t="s">
        <v>698</v>
      </c>
      <c r="L291" s="17"/>
      <c r="M291" s="8"/>
      <c r="N291" s="269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2" t="s">
        <v>54</v>
      </c>
      <c r="G292" s="102" t="s">
        <v>55</v>
      </c>
      <c r="H292" s="102" t="s">
        <v>56</v>
      </c>
      <c r="I292" s="102" t="s">
        <v>57</v>
      </c>
      <c r="J292" s="102" t="s">
        <v>58</v>
      </c>
      <c r="K292" s="102" t="s">
        <v>59</v>
      </c>
      <c r="L292" s="102" t="s">
        <v>5</v>
      </c>
      <c r="M292" s="8"/>
      <c r="N292" s="269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69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  <c r="N294" s="269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69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69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69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69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  <c r="N299" s="269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si="14"/>
        <v>0</v>
      </c>
      <c r="M300" s="8"/>
      <c r="N300" s="269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69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69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69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69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69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69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69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67"/>
    </row>
    <row r="309" spans="1:14" s="3" customFormat="1" ht="12" customHeight="1" x14ac:dyDescent="0.2">
      <c r="A309" s="69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6"/>
      <c r="M309" s="8"/>
      <c r="N309" s="269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5" t="s">
        <v>693</v>
      </c>
      <c r="G310" s="175" t="s">
        <v>694</v>
      </c>
      <c r="H310" s="175" t="s">
        <v>695</v>
      </c>
      <c r="I310" s="175" t="s">
        <v>696</v>
      </c>
      <c r="J310" s="175" t="s">
        <v>697</v>
      </c>
      <c r="K310" s="175" t="s">
        <v>698</v>
      </c>
      <c r="L310" s="20"/>
      <c r="M310" s="8"/>
      <c r="N310" s="269"/>
    </row>
    <row r="311" spans="1:14" s="3" customFormat="1" ht="12" customHeight="1" x14ac:dyDescent="0.15">
      <c r="A311" s="29" t="s">
        <v>454</v>
      </c>
      <c r="F311" s="102" t="s">
        <v>54</v>
      </c>
      <c r="G311" s="102" t="s">
        <v>55</v>
      </c>
      <c r="H311" s="102" t="s">
        <v>56</v>
      </c>
      <c r="I311" s="102" t="s">
        <v>57</v>
      </c>
      <c r="J311" s="102" t="s">
        <v>58</v>
      </c>
      <c r="K311" s="102" t="s">
        <v>59</v>
      </c>
      <c r="L311" s="102" t="s">
        <v>5</v>
      </c>
      <c r="M311" s="8"/>
      <c r="N311" s="269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69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>SUM(F313:K313)</f>
        <v>0</v>
      </c>
      <c r="M313" s="8"/>
      <c r="N313" s="269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69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69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69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69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  <c r="N318" s="269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si="16"/>
        <v>0</v>
      </c>
      <c r="M319" s="8"/>
      <c r="N319" s="269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69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69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69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69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69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69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69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69"/>
    </row>
    <row r="328" spans="1:14" s="3" customFormat="1" ht="12" customHeight="1" x14ac:dyDescent="0.2">
      <c r="A328" s="69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6"/>
      <c r="M328" s="8"/>
      <c r="N328" s="269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5" t="s">
        <v>693</v>
      </c>
      <c r="G329" s="175" t="s">
        <v>694</v>
      </c>
      <c r="H329" s="175" t="s">
        <v>695</v>
      </c>
      <c r="I329" s="175" t="s">
        <v>696</v>
      </c>
      <c r="J329" s="175" t="s">
        <v>697</v>
      </c>
      <c r="K329" s="175" t="s">
        <v>698</v>
      </c>
      <c r="L329" s="19"/>
      <c r="M329" s="8"/>
      <c r="N329" s="269"/>
    </row>
    <row r="330" spans="1:14" s="3" customFormat="1" ht="12" customHeight="1" x14ac:dyDescent="0.15">
      <c r="A330" s="29" t="s">
        <v>362</v>
      </c>
      <c r="F330" s="102" t="s">
        <v>54</v>
      </c>
      <c r="G330" s="102" t="s">
        <v>55</v>
      </c>
      <c r="H330" s="102" t="s">
        <v>56</v>
      </c>
      <c r="I330" s="102" t="s">
        <v>57</v>
      </c>
      <c r="J330" s="102" t="s">
        <v>58</v>
      </c>
      <c r="K330" s="102" t="s">
        <v>59</v>
      </c>
      <c r="L330" s="102" t="s">
        <v>5</v>
      </c>
      <c r="M330" s="8"/>
      <c r="N330" s="269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  <c r="N331" s="269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  <c r="N332" s="269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69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69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69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69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33885.58</v>
      </c>
      <c r="G337" s="41">
        <f t="shared" si="20"/>
        <v>3616.64</v>
      </c>
      <c r="H337" s="41">
        <f t="shared" si="20"/>
        <v>4050</v>
      </c>
      <c r="I337" s="41">
        <f t="shared" si="20"/>
        <v>6309.31</v>
      </c>
      <c r="J337" s="41">
        <f t="shared" si="20"/>
        <v>0</v>
      </c>
      <c r="K337" s="41">
        <f t="shared" si="20"/>
        <v>1574.58</v>
      </c>
      <c r="L337" s="41">
        <f t="shared" si="20"/>
        <v>49436.11</v>
      </c>
      <c r="M337" s="8"/>
      <c r="N337" s="269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69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69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  <c r="N340" s="269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69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68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  <c r="N343" s="269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  <c r="N344" s="269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69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69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69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  <c r="N348" s="269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69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69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33885.58</v>
      </c>
      <c r="G351" s="41">
        <f>G337</f>
        <v>3616.64</v>
      </c>
      <c r="H351" s="41">
        <f>H337</f>
        <v>4050</v>
      </c>
      <c r="I351" s="41">
        <f>I337</f>
        <v>6309.31</v>
      </c>
      <c r="J351" s="41">
        <f>J337</f>
        <v>0</v>
      </c>
      <c r="K351" s="47">
        <f>K337+K350</f>
        <v>1574.58</v>
      </c>
      <c r="L351" s="41">
        <f>L337+L350</f>
        <v>49436.11</v>
      </c>
      <c r="M351" s="52"/>
      <c r="N351" s="268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69"/>
      <c r="B352" s="37"/>
      <c r="C352" s="23"/>
      <c r="D352" s="23"/>
      <c r="E352" s="23"/>
      <c r="F352" s="66"/>
      <c r="G352" s="66"/>
      <c r="H352" s="66"/>
      <c r="I352" s="66"/>
      <c r="J352" s="66"/>
      <c r="K352" s="56"/>
      <c r="L352" s="66"/>
      <c r="M352" s="8"/>
      <c r="N352" s="269"/>
    </row>
    <row r="353" spans="1:14" s="3" customFormat="1" ht="12" customHeight="1" x14ac:dyDescent="0.2">
      <c r="A353" s="54"/>
      <c r="B353" s="52"/>
      <c r="C353" s="52"/>
      <c r="D353" s="52"/>
      <c r="E353" s="52"/>
      <c r="F353" s="175" t="s">
        <v>693</v>
      </c>
      <c r="G353" s="175" t="s">
        <v>694</v>
      </c>
      <c r="H353" s="175" t="s">
        <v>695</v>
      </c>
      <c r="I353" s="175" t="s">
        <v>696</v>
      </c>
      <c r="J353" s="175" t="s">
        <v>697</v>
      </c>
      <c r="K353" s="175" t="s">
        <v>698</v>
      </c>
      <c r="L353" s="53"/>
      <c r="M353" s="8"/>
      <c r="N353" s="269"/>
    </row>
    <row r="354" spans="1:14" s="3" customFormat="1" ht="12" customHeight="1" x14ac:dyDescent="0.15">
      <c r="A354" s="29" t="s">
        <v>282</v>
      </c>
      <c r="F354" s="102" t="s">
        <v>54</v>
      </c>
      <c r="G354" s="102" t="s">
        <v>55</v>
      </c>
      <c r="H354" s="102" t="s">
        <v>56</v>
      </c>
      <c r="I354" s="102" t="s">
        <v>57</v>
      </c>
      <c r="J354" s="102" t="s">
        <v>58</v>
      </c>
      <c r="K354" s="102" t="s">
        <v>59</v>
      </c>
      <c r="L354" s="102" t="s">
        <v>5</v>
      </c>
      <c r="M354" s="8"/>
      <c r="N354" s="269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69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428.7</v>
      </c>
      <c r="G357" s="18">
        <v>32.799999999999997</v>
      </c>
      <c r="H357" s="18">
        <f>48385+1776.69</f>
        <v>50161.69</v>
      </c>
      <c r="I357" s="18">
        <v>0</v>
      </c>
      <c r="J357" s="18">
        <v>0</v>
      </c>
      <c r="K357" s="18">
        <v>0</v>
      </c>
      <c r="L357" s="13">
        <f>SUM(F357:K357)</f>
        <v>50623.19</v>
      </c>
      <c r="N357" s="267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18">
        <v>0</v>
      </c>
      <c r="L358" s="19">
        <f>SUM(F358:K358)</f>
        <v>0</v>
      </c>
      <c r="M358" s="8"/>
      <c r="N358" s="269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69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>
        <v>0</v>
      </c>
      <c r="L360" s="13">
        <f>SUM(F360:K360)</f>
        <v>0</v>
      </c>
      <c r="M360" s="8"/>
      <c r="N360" s="269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428.7</v>
      </c>
      <c r="G361" s="47">
        <f t="shared" si="22"/>
        <v>32.799999999999997</v>
      </c>
      <c r="H361" s="47">
        <f t="shared" si="22"/>
        <v>50161.69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50623.19</v>
      </c>
      <c r="M361" s="8"/>
      <c r="N361" s="269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69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69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69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0</v>
      </c>
      <c r="G366" s="18">
        <v>0</v>
      </c>
      <c r="H366" s="18">
        <v>0</v>
      </c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18">
        <v>0</v>
      </c>
      <c r="G367" s="18">
        <v>0</v>
      </c>
      <c r="H367" s="18">
        <v>0</v>
      </c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x14ac:dyDescent="0.15">
      <c r="A369" s="34"/>
      <c r="B369" s="2"/>
      <c r="C369" s="2"/>
      <c r="D369" s="2"/>
      <c r="E369" s="2"/>
      <c r="F369" s="63"/>
      <c r="G369" s="63"/>
      <c r="H369" s="63"/>
      <c r="I369" s="56"/>
      <c r="J369" s="56"/>
      <c r="K369" s="56"/>
      <c r="L369" s="56"/>
      <c r="M369" s="8"/>
      <c r="N369" s="269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5" t="s">
        <v>693</v>
      </c>
      <c r="G370" s="175" t="s">
        <v>694</v>
      </c>
      <c r="H370" s="175" t="s">
        <v>695</v>
      </c>
      <c r="I370" s="175" t="s">
        <v>696</v>
      </c>
      <c r="J370" s="175" t="s">
        <v>697</v>
      </c>
      <c r="K370" s="175" t="s">
        <v>698</v>
      </c>
      <c r="L370" s="13"/>
      <c r="M370" s="8"/>
      <c r="N370" s="269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2" t="s">
        <v>54</v>
      </c>
      <c r="G371" s="102" t="s">
        <v>55</v>
      </c>
      <c r="H371" s="102" t="s">
        <v>56</v>
      </c>
      <c r="I371" s="102" t="s">
        <v>57</v>
      </c>
      <c r="J371" s="102" t="s">
        <v>58</v>
      </c>
      <c r="K371" s="102" t="s">
        <v>59</v>
      </c>
      <c r="L371" s="102" t="s">
        <v>5</v>
      </c>
      <c r="M371" s="8"/>
      <c r="N371" s="269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69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  <c r="N373" s="269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  <c r="N374" s="269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  <c r="N375" s="269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69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69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0</v>
      </c>
      <c r="L380" s="13">
        <f t="shared" si="23"/>
        <v>0</v>
      </c>
      <c r="M380" s="8"/>
      <c r="N380" s="269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8">
        <f>SUM(F373:F380)</f>
        <v>0</v>
      </c>
      <c r="G381" s="138">
        <f t="shared" ref="G381:L381" si="24">SUM(G373:G380)</f>
        <v>0</v>
      </c>
      <c r="H381" s="138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69"/>
    </row>
    <row r="382" spans="1:14" s="3" customFormat="1" ht="12" customHeight="1" x14ac:dyDescent="0.15">
      <c r="A382" s="29"/>
      <c r="B382" s="2"/>
      <c r="C382" s="2"/>
      <c r="D382" s="2"/>
      <c r="E382" s="2"/>
      <c r="F382" s="65"/>
      <c r="G382" s="65"/>
      <c r="H382" s="65"/>
      <c r="I382" s="66"/>
      <c r="J382" s="56"/>
      <c r="K382" s="56"/>
      <c r="L382" s="56"/>
      <c r="M382" s="8"/>
      <c r="N382" s="269"/>
    </row>
    <row r="383" spans="1:14" s="3" customFormat="1" ht="12" customHeight="1" x14ac:dyDescent="0.15">
      <c r="A383" s="26" t="s">
        <v>483</v>
      </c>
      <c r="B383" s="75"/>
      <c r="C383" s="75"/>
      <c r="D383" s="75"/>
      <c r="E383" s="75"/>
      <c r="F383" s="65"/>
      <c r="G383" s="65"/>
      <c r="H383" s="65"/>
      <c r="I383" s="66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6" t="s">
        <v>341</v>
      </c>
      <c r="M385" s="8"/>
      <c r="N385" s="269"/>
    </row>
    <row r="386" spans="1:14" s="3" customFormat="1" ht="12" customHeight="1" x14ac:dyDescent="0.15">
      <c r="A386" s="78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69"/>
    </row>
    <row r="387" spans="1:14" s="3" customFormat="1" ht="12" customHeight="1" x14ac:dyDescent="0.15">
      <c r="A387" s="78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  <c r="N387" s="269"/>
    </row>
    <row r="388" spans="1:14" s="3" customFormat="1" ht="12" customHeight="1" x14ac:dyDescent="0.15">
      <c r="A388" s="78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69"/>
    </row>
    <row r="389" spans="1:14" s="3" customFormat="1" ht="12" customHeight="1" x14ac:dyDescent="0.15">
      <c r="A389" s="78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69"/>
    </row>
    <row r="390" spans="1:14" s="3" customFormat="1" ht="12" customHeight="1" x14ac:dyDescent="0.15">
      <c r="A390" s="78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69"/>
    </row>
    <row r="391" spans="1:14" s="3" customFormat="1" ht="12" customHeight="1" thickBot="1" x14ac:dyDescent="0.2">
      <c r="A391" s="78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20000</v>
      </c>
      <c r="H391" s="18">
        <v>26.06</v>
      </c>
      <c r="I391" s="18">
        <v>0</v>
      </c>
      <c r="J391" s="24" t="s">
        <v>289</v>
      </c>
      <c r="K391" s="24" t="s">
        <v>289</v>
      </c>
      <c r="L391" s="56">
        <f t="shared" si="25"/>
        <v>20026.060000000001</v>
      </c>
      <c r="M391" s="8"/>
      <c r="N391" s="269"/>
    </row>
    <row r="392" spans="1:14" s="3" customFormat="1" ht="12" customHeight="1" thickTop="1" x14ac:dyDescent="0.15">
      <c r="A392" s="158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8">
        <f>SUM(F386:F391)</f>
        <v>0</v>
      </c>
      <c r="G392" s="138">
        <f>SUM(G386:G391)</f>
        <v>20000</v>
      </c>
      <c r="H392" s="138">
        <f>SUM(H386:H391)</f>
        <v>26.06</v>
      </c>
      <c r="I392" s="64">
        <f>SUM(I386:I391)</f>
        <v>0</v>
      </c>
      <c r="J392" s="45" t="s">
        <v>289</v>
      </c>
      <c r="K392" s="45" t="s">
        <v>289</v>
      </c>
      <c r="L392" s="47">
        <f>SUM(L386:L391)</f>
        <v>20026.060000000001</v>
      </c>
      <c r="M392" s="8"/>
      <c r="N392" s="269"/>
    </row>
    <row r="393" spans="1:14" s="3" customFormat="1" ht="12" customHeight="1" x14ac:dyDescent="0.15">
      <c r="A393" s="77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69"/>
    </row>
    <row r="394" spans="1:14" s="3" customFormat="1" ht="12" customHeight="1" x14ac:dyDescent="0.15">
      <c r="A394" s="78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69"/>
    </row>
    <row r="395" spans="1:14" s="3" customFormat="1" ht="12" customHeight="1" x14ac:dyDescent="0.15">
      <c r="A395" s="78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si="26"/>
        <v>0</v>
      </c>
      <c r="M395" s="8"/>
      <c r="N395" s="269"/>
    </row>
    <row r="396" spans="1:14" s="3" customFormat="1" ht="12" customHeight="1" x14ac:dyDescent="0.15">
      <c r="A396" s="78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  <c r="N396" s="269"/>
    </row>
    <row r="397" spans="1:14" s="3" customFormat="1" ht="12" customHeight="1" x14ac:dyDescent="0.15">
      <c r="A397" s="78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  <c r="N397" s="269"/>
    </row>
    <row r="398" spans="1:14" s="3" customFormat="1" ht="12" customHeight="1" x14ac:dyDescent="0.15">
      <c r="A398" s="78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69"/>
    </row>
    <row r="399" spans="1:14" s="3" customFormat="1" ht="12" customHeight="1" thickBot="1" x14ac:dyDescent="0.2">
      <c r="A399" s="78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69"/>
    </row>
    <row r="400" spans="1:14" s="3" customFormat="1" ht="12" customHeight="1" thickTop="1" x14ac:dyDescent="0.15">
      <c r="A400" s="158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69"/>
    </row>
    <row r="401" spans="1:21" s="3" customFormat="1" ht="12" customHeight="1" x14ac:dyDescent="0.15">
      <c r="A401" s="77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69"/>
    </row>
    <row r="402" spans="1:21" s="3" customFormat="1" ht="12" customHeight="1" x14ac:dyDescent="0.15">
      <c r="A402" s="109"/>
      <c r="B402" s="2" t="s">
        <v>382</v>
      </c>
      <c r="C402" s="6">
        <v>15</v>
      </c>
      <c r="D402" s="2" t="s">
        <v>433</v>
      </c>
      <c r="E402" s="6"/>
      <c r="F402" s="18">
        <v>0</v>
      </c>
      <c r="G402" s="18">
        <v>0</v>
      </c>
      <c r="H402" s="18">
        <v>0</v>
      </c>
      <c r="I402" s="18">
        <v>0</v>
      </c>
      <c r="J402" s="24" t="s">
        <v>289</v>
      </c>
      <c r="K402" s="24" t="s">
        <v>289</v>
      </c>
      <c r="L402" s="56">
        <f>SUM(F402:K402)</f>
        <v>0</v>
      </c>
      <c r="M402" s="8"/>
      <c r="N402" s="269"/>
    </row>
    <row r="403" spans="1:21" s="3" customFormat="1" ht="12" customHeight="1" x14ac:dyDescent="0.15">
      <c r="A403" s="109"/>
      <c r="B403" s="2" t="s">
        <v>382</v>
      </c>
      <c r="C403" s="6">
        <v>16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69"/>
    </row>
    <row r="404" spans="1:21" s="3" customFormat="1" ht="12" customHeight="1" x14ac:dyDescent="0.15">
      <c r="A404" s="109"/>
      <c r="B404" s="2" t="s">
        <v>382</v>
      </c>
      <c r="C404" s="6">
        <v>17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thickBot="1" x14ac:dyDescent="0.2">
      <c r="A405" s="109"/>
      <c r="B405" s="2" t="s">
        <v>382</v>
      </c>
      <c r="C405" s="6">
        <v>18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Top="1" thickBot="1" x14ac:dyDescent="0.2">
      <c r="A406" s="158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69"/>
    </row>
    <row r="407" spans="1:21" s="3" customFormat="1" ht="12" customHeight="1" thickTop="1" x14ac:dyDescent="0.15">
      <c r="A407" s="77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</v>
      </c>
      <c r="H407" s="47">
        <f>H392+H400+H406</f>
        <v>26.06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20026.060000000001</v>
      </c>
      <c r="M407" s="8"/>
      <c r="N407" s="269"/>
    </row>
    <row r="408" spans="1:21" s="3" customFormat="1" ht="12" customHeight="1" x14ac:dyDescent="0.15">
      <c r="A408" s="77"/>
      <c r="B408" s="2"/>
      <c r="C408" s="6"/>
      <c r="D408" s="6"/>
      <c r="E408" s="6"/>
      <c r="F408" s="175" t="s">
        <v>693</v>
      </c>
      <c r="G408" s="175" t="s">
        <v>694</v>
      </c>
      <c r="H408" s="175" t="s">
        <v>695</v>
      </c>
      <c r="I408" s="175" t="s">
        <v>696</v>
      </c>
      <c r="J408" s="175" t="s">
        <v>697</v>
      </c>
      <c r="K408" s="175" t="s">
        <v>698</v>
      </c>
      <c r="L408" s="56"/>
      <c r="M408" s="8"/>
      <c r="N408" s="269"/>
    </row>
    <row r="409" spans="1:21" s="3" customFormat="1" ht="12" customHeight="1" x14ac:dyDescent="0.15">
      <c r="A409" s="26" t="s">
        <v>483</v>
      </c>
      <c r="B409" s="75"/>
      <c r="C409" s="75"/>
      <c r="D409" s="75"/>
      <c r="E409" s="75"/>
      <c r="F409" s="65"/>
      <c r="G409" s="16" t="s">
        <v>385</v>
      </c>
      <c r="H409" s="16" t="s">
        <v>386</v>
      </c>
      <c r="I409" s="66"/>
      <c r="J409" s="56"/>
      <c r="K409" s="56"/>
      <c r="L409" s="56"/>
      <c r="M409" s="8"/>
      <c r="N409" s="269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6" t="s">
        <v>341</v>
      </c>
      <c r="M410" s="8"/>
      <c r="N410" s="269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69"/>
    </row>
    <row r="412" spans="1:21" s="3" customFormat="1" ht="12" customHeight="1" x14ac:dyDescent="0.15">
      <c r="A412" s="78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  <c r="N412" s="269"/>
    </row>
    <row r="413" spans="1:21" s="12" customFormat="1" ht="12" customHeight="1" thickBot="1" x14ac:dyDescent="0.25">
      <c r="A413" s="78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268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8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8"/>
      <c r="N414" s="224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8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  <c r="N415" s="269"/>
    </row>
    <row r="416" spans="1:21" s="3" customFormat="1" ht="12" customHeight="1" x14ac:dyDescent="0.15">
      <c r="A416" s="78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69"/>
    </row>
    <row r="417" spans="1:21" s="3" customFormat="1" ht="12" customHeight="1" thickBot="1" x14ac:dyDescent="0.2">
      <c r="A417" s="78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69"/>
    </row>
    <row r="418" spans="1:21" s="3" customFormat="1" ht="12" customHeight="1" thickTop="1" x14ac:dyDescent="0.15">
      <c r="A418" s="158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8">
        <f t="shared" ref="F418:L418" si="28">SUM(F412:F417)</f>
        <v>0</v>
      </c>
      <c r="G418" s="138">
        <f t="shared" si="28"/>
        <v>0</v>
      </c>
      <c r="H418" s="138">
        <f t="shared" si="28"/>
        <v>0</v>
      </c>
      <c r="I418" s="138">
        <f t="shared" si="28"/>
        <v>0</v>
      </c>
      <c r="J418" s="138">
        <f t="shared" si="28"/>
        <v>0</v>
      </c>
      <c r="K418" s="138">
        <f t="shared" si="28"/>
        <v>0</v>
      </c>
      <c r="L418" s="47">
        <f t="shared" si="28"/>
        <v>0</v>
      </c>
      <c r="M418" s="8"/>
      <c r="N418" s="269"/>
    </row>
    <row r="419" spans="1:21" s="3" customFormat="1" ht="12" customHeight="1" x14ac:dyDescent="0.15">
      <c r="A419" s="77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69"/>
    </row>
    <row r="420" spans="1:21" s="3" customFormat="1" ht="12" customHeight="1" x14ac:dyDescent="0.15">
      <c r="A420" s="78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  <c r="N420" s="269"/>
    </row>
    <row r="421" spans="1:21" s="3" customFormat="1" ht="12" customHeight="1" x14ac:dyDescent="0.15">
      <c r="A421" s="78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  <c r="N421" s="269"/>
    </row>
    <row r="422" spans="1:21" s="3" customFormat="1" ht="12" customHeight="1" x14ac:dyDescent="0.15">
      <c r="A422" s="78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69"/>
    </row>
    <row r="423" spans="1:21" s="3" customFormat="1" ht="12" customHeight="1" x14ac:dyDescent="0.15">
      <c r="A423" s="78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69"/>
    </row>
    <row r="424" spans="1:21" s="3" customFormat="1" ht="12" customHeight="1" x14ac:dyDescent="0.15">
      <c r="A424" s="78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69"/>
    </row>
    <row r="425" spans="1:21" s="3" customFormat="1" ht="12" customHeight="1" thickBot="1" x14ac:dyDescent="0.2">
      <c r="A425" s="78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69"/>
    </row>
    <row r="426" spans="1:21" s="3" customFormat="1" ht="12" customHeight="1" thickTop="1" x14ac:dyDescent="0.15">
      <c r="A426" s="158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69"/>
    </row>
    <row r="427" spans="1:21" s="11" customFormat="1" ht="12" customHeight="1" x14ac:dyDescent="0.15">
      <c r="A427" s="77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7"/>
      <c r="N427" s="224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09"/>
      <c r="B428" s="6">
        <v>17</v>
      </c>
      <c r="C428" s="6">
        <v>15</v>
      </c>
      <c r="D428" s="2" t="s">
        <v>433</v>
      </c>
      <c r="E428" s="6"/>
      <c r="F428" s="18">
        <v>0</v>
      </c>
      <c r="G428" s="18">
        <v>0</v>
      </c>
      <c r="H428" s="18">
        <v>0</v>
      </c>
      <c r="I428" s="18">
        <v>0</v>
      </c>
      <c r="J428" s="18">
        <v>0</v>
      </c>
      <c r="K428" s="18">
        <v>0</v>
      </c>
      <c r="L428" s="56">
        <f>SUM(F428:K428)</f>
        <v>0</v>
      </c>
      <c r="M428" s="67"/>
      <c r="N428" s="224"/>
    </row>
    <row r="429" spans="1:21" s="58" customFormat="1" ht="12" customHeight="1" x14ac:dyDescent="0.15">
      <c r="A429" s="109"/>
      <c r="B429" s="6">
        <v>17</v>
      </c>
      <c r="C429" s="6">
        <v>16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7"/>
      <c r="N429" s="224"/>
    </row>
    <row r="430" spans="1:21" ht="12" customHeight="1" x14ac:dyDescent="0.2">
      <c r="A430" s="109"/>
      <c r="B430" s="6">
        <v>17</v>
      </c>
      <c r="C430" s="6">
        <v>17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N430" s="267"/>
    </row>
    <row r="431" spans="1:21" s="3" customFormat="1" ht="12" customHeight="1" thickBot="1" x14ac:dyDescent="0.2">
      <c r="A431" s="109"/>
      <c r="B431" s="6">
        <v>17</v>
      </c>
      <c r="C431" s="6">
        <v>18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M431" s="8"/>
      <c r="N431" s="269"/>
    </row>
    <row r="432" spans="1:21" s="3" customFormat="1" ht="12" customHeight="1" thickTop="1" thickBot="1" x14ac:dyDescent="0.2">
      <c r="A432" s="158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69"/>
    </row>
    <row r="433" spans="1:14" s="3" customFormat="1" ht="12" customHeight="1" thickTop="1" x14ac:dyDescent="0.15">
      <c r="A433" s="77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69"/>
    </row>
    <row r="434" spans="1:14" s="3" customFormat="1" ht="12" customHeight="1" x14ac:dyDescent="0.15">
      <c r="A434" s="77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69"/>
    </row>
    <row r="435" spans="1:14" s="3" customFormat="1" ht="12" customHeight="1" x14ac:dyDescent="0.15">
      <c r="A435" s="34" t="s">
        <v>0</v>
      </c>
      <c r="K435" s="56"/>
      <c r="L435" s="13"/>
      <c r="M435" s="8"/>
      <c r="N435" s="269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69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69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0</v>
      </c>
      <c r="G438" s="18">
        <v>0</v>
      </c>
      <c r="H438" s="18">
        <v>0</v>
      </c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68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98572.479999999996</v>
      </c>
      <c r="G439" s="18">
        <v>0</v>
      </c>
      <c r="H439" s="18">
        <v>0</v>
      </c>
      <c r="I439" s="56">
        <f t="shared" si="33"/>
        <v>98572.479999999996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8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8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8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8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8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thickBot="1" x14ac:dyDescent="0.2">
      <c r="A445" s="69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98572.479999999996</v>
      </c>
      <c r="G445" s="13">
        <f>SUM(G438:G444)</f>
        <v>0</v>
      </c>
      <c r="H445" s="13">
        <f>SUM(H438:H444)</f>
        <v>0</v>
      </c>
      <c r="I445" s="13">
        <f>SUM(I438:I444)</f>
        <v>98572.479999999996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x14ac:dyDescent="0.15">
      <c r="A447" s="68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8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8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8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thickBot="1" x14ac:dyDescent="0.2">
      <c r="A451" s="73" t="s">
        <v>424</v>
      </c>
      <c r="B451" s="72">
        <v>18</v>
      </c>
      <c r="C451" s="70">
        <v>13</v>
      </c>
      <c r="D451" s="2" t="s">
        <v>433</v>
      </c>
      <c r="E451" s="70"/>
      <c r="F451" s="71">
        <f>SUM(F447:F450)</f>
        <v>0</v>
      </c>
      <c r="G451" s="71">
        <f>SUM(G447:G450)</f>
        <v>0</v>
      </c>
      <c r="H451" s="71">
        <f>SUM(H447:H450)</f>
        <v>0</v>
      </c>
      <c r="I451" s="71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Top="1" x14ac:dyDescent="0.15">
      <c r="A452" s="89" t="s">
        <v>8</v>
      </c>
      <c r="B452" s="36"/>
      <c r="C452" s="74"/>
      <c r="D452" s="74"/>
      <c r="E452" s="74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  <c r="N454" s="269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69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7"/>
      <c r="N456" s="224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268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f>F439</f>
        <v>98572.479999999996</v>
      </c>
      <c r="G458" s="18">
        <v>0</v>
      </c>
      <c r="H458" s="18">
        <v>0</v>
      </c>
      <c r="I458" s="56">
        <f t="shared" si="34"/>
        <v>98572.479999999996</v>
      </c>
      <c r="J458" s="24" t="s">
        <v>289</v>
      </c>
      <c r="K458" s="24" t="s">
        <v>289</v>
      </c>
      <c r="L458" s="24" t="s">
        <v>289</v>
      </c>
      <c r="M458" s="52"/>
      <c r="N458" s="268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0">
        <v>18</v>
      </c>
      <c r="C459" s="51">
        <v>20</v>
      </c>
      <c r="D459" s="48" t="s">
        <v>433</v>
      </c>
      <c r="E459" s="51"/>
      <c r="F459" s="82">
        <f>SUM(F453:F458)</f>
        <v>98572.479999999996</v>
      </c>
      <c r="G459" s="82">
        <f>SUM(G453:G458)</f>
        <v>0</v>
      </c>
      <c r="H459" s="82">
        <f>SUM(H453:H458)</f>
        <v>0</v>
      </c>
      <c r="I459" s="82">
        <f>SUM(I453:I458)</f>
        <v>98572.479999999996</v>
      </c>
      <c r="J459" s="24" t="s">
        <v>289</v>
      </c>
      <c r="K459" s="24" t="s">
        <v>289</v>
      </c>
      <c r="L459" s="24" t="s">
        <v>289</v>
      </c>
      <c r="N459" s="268"/>
    </row>
    <row r="460" spans="1:23" s="52" customFormat="1" ht="12" customHeight="1" thickTop="1" x14ac:dyDescent="0.2">
      <c r="A460" s="90" t="s">
        <v>425</v>
      </c>
      <c r="B460" s="44">
        <v>18</v>
      </c>
      <c r="C460" s="81">
        <v>21</v>
      </c>
      <c r="D460" s="155" t="s">
        <v>433</v>
      </c>
      <c r="E460" s="81"/>
      <c r="F460" s="42">
        <f>F451+F459</f>
        <v>98572.479999999996</v>
      </c>
      <c r="G460" s="42">
        <f>G451+G459</f>
        <v>0</v>
      </c>
      <c r="H460" s="42">
        <f>H451+H459</f>
        <v>0</v>
      </c>
      <c r="I460" s="42">
        <f>I451+I459</f>
        <v>98572.479999999996</v>
      </c>
      <c r="J460" s="24" t="s">
        <v>289</v>
      </c>
      <c r="K460" s="24" t="s">
        <v>289</v>
      </c>
      <c r="L460" s="24" t="s">
        <v>289</v>
      </c>
      <c r="N460" s="268"/>
    </row>
    <row r="461" spans="1:23" s="52" customFormat="1" ht="12" customHeight="1" x14ac:dyDescent="0.2">
      <c r="A461" s="91"/>
      <c r="B461" s="74"/>
      <c r="C461" s="79"/>
      <c r="D461" s="79"/>
      <c r="E461" s="79"/>
      <c r="F461" s="53"/>
      <c r="G461" s="53"/>
      <c r="H461" s="53"/>
      <c r="I461" s="53"/>
      <c r="J461" s="53"/>
      <c r="K461" s="53"/>
      <c r="L461" s="53"/>
      <c r="N461" s="268"/>
    </row>
    <row r="462" spans="1:23" s="52" customFormat="1" ht="12" customHeight="1" x14ac:dyDescent="0.2">
      <c r="A462" s="91" t="s">
        <v>9</v>
      </c>
      <c r="B462" s="74"/>
      <c r="C462" s="79"/>
      <c r="D462" s="79"/>
      <c r="E462" s="79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68"/>
    </row>
    <row r="463" spans="1:23" s="52" customFormat="1" ht="12" customHeight="1" x14ac:dyDescent="0.2">
      <c r="A463" s="91"/>
      <c r="B463" s="74"/>
      <c r="C463" s="79"/>
      <c r="D463" s="79"/>
      <c r="E463" s="79"/>
      <c r="F463" s="83" t="s">
        <v>10</v>
      </c>
      <c r="G463" s="83" t="s">
        <v>11</v>
      </c>
      <c r="H463" s="83" t="s">
        <v>12</v>
      </c>
      <c r="I463" s="83" t="s">
        <v>13</v>
      </c>
      <c r="J463" s="83" t="s">
        <v>14</v>
      </c>
      <c r="K463" s="53"/>
      <c r="L463" s="53"/>
      <c r="N463" s="268"/>
    </row>
    <row r="464" spans="1:23" s="52" customFormat="1" ht="12" customHeight="1" x14ac:dyDescent="0.2">
      <c r="A464" s="187" t="s">
        <v>899</v>
      </c>
      <c r="B464" s="104">
        <v>19</v>
      </c>
      <c r="C464" s="110">
        <v>1</v>
      </c>
      <c r="D464" s="2" t="s">
        <v>433</v>
      </c>
      <c r="E464" s="110"/>
      <c r="F464" s="18">
        <v>184669</v>
      </c>
      <c r="G464" s="18">
        <v>3408.47</v>
      </c>
      <c r="H464" s="18"/>
      <c r="I464" s="18"/>
      <c r="J464" s="18">
        <v>78546.42</v>
      </c>
      <c r="K464" s="24" t="s">
        <v>289</v>
      </c>
      <c r="L464" s="24" t="s">
        <v>289</v>
      </c>
      <c r="N464" s="268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68"/>
    </row>
    <row r="466" spans="1:14" s="52" customFormat="1" ht="12" customHeight="1" x14ac:dyDescent="0.2">
      <c r="A466" s="93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68"/>
    </row>
    <row r="467" spans="1:14" s="52" customFormat="1" ht="12" customHeight="1" x14ac:dyDescent="0.2">
      <c r="A467" s="92" t="s">
        <v>614</v>
      </c>
      <c r="B467" s="74">
        <v>19</v>
      </c>
      <c r="C467" s="79">
        <v>2</v>
      </c>
      <c r="D467" s="2" t="s">
        <v>433</v>
      </c>
      <c r="E467" s="79"/>
      <c r="F467" s="18">
        <f>F192</f>
        <v>5037662.7299999995</v>
      </c>
      <c r="G467" s="18">
        <f>G192</f>
        <v>52867.02</v>
      </c>
      <c r="H467" s="18">
        <f t="shared" ref="H467:J467" si="35">H192</f>
        <v>49436.11</v>
      </c>
      <c r="I467" s="18">
        <f t="shared" si="35"/>
        <v>0</v>
      </c>
      <c r="J467" s="18">
        <f t="shared" si="35"/>
        <v>20026.060000000001</v>
      </c>
      <c r="K467" s="24" t="s">
        <v>289</v>
      </c>
      <c r="L467" s="24" t="s">
        <v>289</v>
      </c>
      <c r="N467" s="268"/>
    </row>
    <row r="468" spans="1:14" s="52" customFormat="1" ht="12" customHeight="1" x14ac:dyDescent="0.2">
      <c r="A468" s="92" t="s">
        <v>615</v>
      </c>
      <c r="B468" s="74">
        <v>19</v>
      </c>
      <c r="C468" s="79">
        <v>3</v>
      </c>
      <c r="D468" s="2" t="s">
        <v>433</v>
      </c>
      <c r="E468" s="79"/>
      <c r="F468" s="18">
        <v>0</v>
      </c>
      <c r="G468" s="18">
        <v>0</v>
      </c>
      <c r="H468" s="18">
        <v>0</v>
      </c>
      <c r="I468" s="18">
        <v>0</v>
      </c>
      <c r="J468" s="18">
        <v>0</v>
      </c>
      <c r="K468" s="24" t="s">
        <v>289</v>
      </c>
      <c r="L468" s="24" t="s">
        <v>289</v>
      </c>
      <c r="N468" s="268"/>
    </row>
    <row r="469" spans="1:14" s="52" customFormat="1" ht="12" customHeight="1" x14ac:dyDescent="0.2">
      <c r="A469" s="91" t="s">
        <v>426</v>
      </c>
      <c r="B469" s="74">
        <v>19</v>
      </c>
      <c r="C469" s="79">
        <v>4</v>
      </c>
      <c r="D469" s="2" t="s">
        <v>433</v>
      </c>
      <c r="E469" s="79"/>
      <c r="F469" s="53">
        <f>SUM(F467:F468)</f>
        <v>5037662.7299999995</v>
      </c>
      <c r="G469" s="53">
        <f>SUM(G467:G468)</f>
        <v>52867.02</v>
      </c>
      <c r="H469" s="53">
        <f>SUM(H467:H468)</f>
        <v>49436.11</v>
      </c>
      <c r="I469" s="53">
        <f>SUM(I467:I468)</f>
        <v>0</v>
      </c>
      <c r="J469" s="53">
        <f>SUM(J467:J468)</f>
        <v>20026.060000000001</v>
      </c>
      <c r="K469" s="24" t="s">
        <v>289</v>
      </c>
      <c r="L469" s="24" t="s">
        <v>289</v>
      </c>
      <c r="N469" s="268"/>
    </row>
    <row r="470" spans="1:14" s="52" customFormat="1" ht="12" customHeight="1" x14ac:dyDescent="0.2">
      <c r="A470" s="93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68"/>
    </row>
    <row r="471" spans="1:14" s="52" customFormat="1" ht="12" customHeight="1" x14ac:dyDescent="0.2">
      <c r="A471" s="92" t="s">
        <v>616</v>
      </c>
      <c r="B471" s="74">
        <v>19</v>
      </c>
      <c r="C471" s="79">
        <v>5</v>
      </c>
      <c r="D471" s="2" t="s">
        <v>433</v>
      </c>
      <c r="E471" s="79"/>
      <c r="F471" s="18">
        <f>L270</f>
        <v>4934129.72</v>
      </c>
      <c r="G471" s="18">
        <f>L361</f>
        <v>50623.19</v>
      </c>
      <c r="H471" s="18">
        <f>L351</f>
        <v>49436.11</v>
      </c>
      <c r="I471" s="18">
        <v>0</v>
      </c>
      <c r="J471" s="18">
        <f>L433</f>
        <v>0</v>
      </c>
      <c r="K471" s="24" t="s">
        <v>289</v>
      </c>
      <c r="L471" s="24" t="s">
        <v>289</v>
      </c>
      <c r="N471" s="268"/>
    </row>
    <row r="472" spans="1:14" s="52" customFormat="1" ht="12" customHeight="1" x14ac:dyDescent="0.2">
      <c r="A472" s="92" t="s">
        <v>617</v>
      </c>
      <c r="B472" s="74">
        <v>19</v>
      </c>
      <c r="C472" s="79">
        <v>6</v>
      </c>
      <c r="D472" s="2" t="s">
        <v>433</v>
      </c>
      <c r="E472" s="79"/>
      <c r="F472" s="18">
        <v>0</v>
      </c>
      <c r="G472" s="18">
        <v>0</v>
      </c>
      <c r="H472" s="18">
        <v>0</v>
      </c>
      <c r="I472" s="18">
        <v>0</v>
      </c>
      <c r="J472" s="18">
        <v>0</v>
      </c>
      <c r="K472" s="24" t="s">
        <v>289</v>
      </c>
      <c r="L472" s="24" t="s">
        <v>289</v>
      </c>
      <c r="N472" s="268"/>
    </row>
    <row r="473" spans="1:14" s="52" customFormat="1" ht="12" customHeight="1" x14ac:dyDescent="0.2">
      <c r="A473" s="91" t="s">
        <v>427</v>
      </c>
      <c r="B473" s="74">
        <v>19</v>
      </c>
      <c r="C473" s="79">
        <v>7</v>
      </c>
      <c r="D473" s="2" t="s">
        <v>433</v>
      </c>
      <c r="E473" s="79"/>
      <c r="F473" s="53">
        <f>SUM(F471:F472)</f>
        <v>4934129.72</v>
      </c>
      <c r="G473" s="53">
        <f>SUM(G471:G472)</f>
        <v>50623.19</v>
      </c>
      <c r="H473" s="53">
        <f>SUM(H471:H472)</f>
        <v>49436.11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68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68"/>
    </row>
    <row r="475" spans="1:14" s="52" customFormat="1" ht="12" customHeight="1" x14ac:dyDescent="0.2">
      <c r="A475" s="188" t="s">
        <v>900</v>
      </c>
      <c r="B475" s="74">
        <v>19</v>
      </c>
      <c r="C475" s="114">
        <v>8</v>
      </c>
      <c r="D475" s="2" t="s">
        <v>433</v>
      </c>
      <c r="E475" s="114"/>
      <c r="F475" s="53">
        <f>(F464+F469)- F473</f>
        <v>288202.00999999978</v>
      </c>
      <c r="G475" s="53">
        <f>(G464+G469)- G473</f>
        <v>5652.2999999999956</v>
      </c>
      <c r="H475" s="53">
        <f>(H464+H469)- H473</f>
        <v>0</v>
      </c>
      <c r="I475" s="53">
        <f>(I464+I469)- I473</f>
        <v>0</v>
      </c>
      <c r="J475" s="53">
        <f>(J464+J469)- J473</f>
        <v>98572.479999999996</v>
      </c>
      <c r="K475" s="24" t="s">
        <v>289</v>
      </c>
      <c r="L475" s="24" t="s">
        <v>289</v>
      </c>
      <c r="N475" s="268"/>
    </row>
    <row r="476" spans="1:14" s="52" customFormat="1" ht="12" customHeight="1" x14ac:dyDescent="0.2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N476" s="268"/>
    </row>
    <row r="477" spans="1:14" s="52" customFormat="1" ht="12" customHeight="1" x14ac:dyDescent="0.2">
      <c r="A477" s="94" t="s">
        <v>661</v>
      </c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68"/>
    </row>
    <row r="478" spans="1:14" s="52" customFormat="1" ht="12" customHeight="1" x14ac:dyDescent="0.2">
      <c r="A478" s="94" t="s">
        <v>699</v>
      </c>
      <c r="B478" s="111"/>
      <c r="C478" s="111"/>
      <c r="D478" s="111"/>
      <c r="E478" s="111"/>
      <c r="F478" s="111"/>
      <c r="G478" s="111"/>
      <c r="H478" s="111"/>
      <c r="I478" s="111" t="s">
        <v>17</v>
      </c>
      <c r="J478" s="111"/>
      <c r="K478" s="94"/>
      <c r="L478" s="94"/>
      <c r="N478" s="268"/>
    </row>
    <row r="479" spans="1:14" s="52" customFormat="1" ht="12" customHeight="1" x14ac:dyDescent="0.2">
      <c r="A479" s="18"/>
      <c r="B479" s="111"/>
      <c r="C479" s="111"/>
      <c r="D479" s="111"/>
      <c r="E479" s="111"/>
      <c r="F479" s="111"/>
      <c r="G479" s="111"/>
      <c r="H479" s="111"/>
      <c r="I479" s="111" t="s">
        <v>402</v>
      </c>
      <c r="J479" s="111"/>
      <c r="K479" s="94"/>
      <c r="L479" s="94"/>
      <c r="N479" s="268"/>
    </row>
    <row r="480" spans="1:14" s="52" customFormat="1" ht="12" customHeight="1" x14ac:dyDescent="0.2">
      <c r="A480" s="173"/>
      <c r="B480" s="111"/>
      <c r="C480" s="111"/>
      <c r="D480" s="111"/>
      <c r="E480" s="111"/>
      <c r="F480" s="111"/>
      <c r="G480" s="111"/>
      <c r="H480" s="111"/>
      <c r="I480" s="111" t="s">
        <v>654</v>
      </c>
      <c r="J480" s="111"/>
      <c r="K480" s="94"/>
      <c r="L480" s="94"/>
      <c r="N480" s="268"/>
    </row>
    <row r="481" spans="1:14" s="52" customFormat="1" ht="12" customHeight="1" x14ac:dyDescent="0.2">
      <c r="A481" s="94" t="s">
        <v>700</v>
      </c>
      <c r="B481" s="111"/>
      <c r="C481" s="111"/>
      <c r="D481" s="111"/>
      <c r="E481" s="111"/>
      <c r="F481" s="111"/>
      <c r="G481" s="111"/>
      <c r="H481" s="111"/>
      <c r="I481" s="111" t="s">
        <v>474</v>
      </c>
      <c r="J481" s="111"/>
      <c r="K481" s="94"/>
      <c r="L481" s="94"/>
      <c r="N481" s="268"/>
    </row>
    <row r="482" spans="1:14" s="52" customFormat="1" ht="12" customHeight="1" x14ac:dyDescent="0.2">
      <c r="A482" s="172"/>
      <c r="B482" s="111"/>
      <c r="C482" s="111"/>
      <c r="D482" s="111"/>
      <c r="E482" s="111"/>
      <c r="F482" s="111"/>
      <c r="G482" s="111"/>
      <c r="H482" s="111"/>
      <c r="I482" s="111" t="s">
        <v>18</v>
      </c>
      <c r="J482" s="111"/>
      <c r="K482" s="94"/>
      <c r="L482" s="94"/>
      <c r="N482" s="268"/>
    </row>
    <row r="483" spans="1:14" s="52" customFormat="1" ht="12" customHeight="1" x14ac:dyDescent="0.2">
      <c r="A483" s="172"/>
      <c r="B483" s="111"/>
      <c r="C483" s="111"/>
      <c r="D483" s="111"/>
      <c r="E483" s="111"/>
      <c r="F483" s="111"/>
      <c r="G483" s="111"/>
      <c r="H483" s="111"/>
      <c r="I483" s="111" t="s">
        <v>475</v>
      </c>
      <c r="J483" s="111"/>
      <c r="K483" s="94"/>
      <c r="L483" s="94"/>
      <c r="N483" s="268"/>
    </row>
    <row r="484" spans="1:14" s="52" customFormat="1" ht="12" customHeight="1" x14ac:dyDescent="0.2">
      <c r="A484" s="172"/>
      <c r="B484" s="111"/>
      <c r="C484" s="111"/>
      <c r="D484" s="111"/>
      <c r="E484" s="111"/>
      <c r="F484" s="111"/>
      <c r="G484" s="111"/>
      <c r="H484" s="111"/>
      <c r="I484" s="111" t="s">
        <v>476</v>
      </c>
      <c r="J484" s="111"/>
      <c r="K484" s="94"/>
      <c r="L484" s="94"/>
      <c r="N484" s="268"/>
    </row>
    <row r="485" spans="1:14" s="52" customFormat="1" ht="12" customHeight="1" x14ac:dyDescent="0.2">
      <c r="A485" s="22"/>
      <c r="B485" s="111"/>
      <c r="C485" s="111"/>
      <c r="D485" s="111"/>
      <c r="E485" s="111"/>
      <c r="F485" s="111"/>
      <c r="G485" s="111"/>
      <c r="H485" s="111"/>
      <c r="I485" s="111"/>
      <c r="J485" s="111"/>
      <c r="K485" s="94"/>
      <c r="L485" s="94"/>
      <c r="N485" s="268"/>
    </row>
    <row r="486" spans="1:14" s="52" customFormat="1" ht="12" customHeight="1" x14ac:dyDescent="0.2">
      <c r="A486" s="95" t="s">
        <v>19</v>
      </c>
      <c r="B486" s="104"/>
      <c r="C486" s="114"/>
      <c r="D486" s="114"/>
      <c r="E486" s="114"/>
      <c r="F486" s="115"/>
      <c r="G486" s="115"/>
      <c r="H486" s="115"/>
      <c r="I486" s="115"/>
      <c r="J486" s="115"/>
      <c r="K486" s="115"/>
      <c r="L486" s="115"/>
      <c r="N486" s="268"/>
    </row>
    <row r="487" spans="1:14" s="52" customFormat="1" ht="12" customHeight="1" x14ac:dyDescent="0.2">
      <c r="A487" s="145" t="s">
        <v>901</v>
      </c>
      <c r="B487" s="104"/>
      <c r="C487" s="114"/>
      <c r="D487" s="114"/>
      <c r="E487" s="114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5"/>
      <c r="N487" s="268"/>
    </row>
    <row r="488" spans="1:14" s="52" customFormat="1" ht="12" customHeight="1" x14ac:dyDescent="0.2">
      <c r="A488" s="95" t="s">
        <v>21</v>
      </c>
      <c r="B488" s="104"/>
      <c r="C488" s="114"/>
      <c r="D488" s="114"/>
      <c r="E488" s="114"/>
      <c r="F488" s="116" t="s">
        <v>22</v>
      </c>
      <c r="G488" s="116" t="s">
        <v>23</v>
      </c>
      <c r="H488" s="116" t="s">
        <v>24</v>
      </c>
      <c r="I488" s="116" t="s">
        <v>25</v>
      </c>
      <c r="J488" s="116" t="s">
        <v>26</v>
      </c>
      <c r="K488" s="116" t="s">
        <v>341</v>
      </c>
      <c r="L488" s="115"/>
      <c r="N488" s="268"/>
    </row>
    <row r="489" spans="1:14" s="52" customFormat="1" ht="12" customHeight="1" x14ac:dyDescent="0.2">
      <c r="A489" s="22" t="s">
        <v>618</v>
      </c>
      <c r="B489" s="74">
        <v>20</v>
      </c>
      <c r="C489" s="114">
        <v>1</v>
      </c>
      <c r="D489" s="2" t="s">
        <v>433</v>
      </c>
      <c r="E489" s="114"/>
      <c r="F489" s="152"/>
      <c r="G489" s="152"/>
      <c r="H489" s="152"/>
      <c r="I489" s="152"/>
      <c r="J489" s="152"/>
      <c r="K489" s="24" t="s">
        <v>289</v>
      </c>
      <c r="L489" s="24" t="s">
        <v>289</v>
      </c>
      <c r="N489" s="268"/>
    </row>
    <row r="490" spans="1:14" s="52" customFormat="1" ht="12" customHeight="1" x14ac:dyDescent="0.2">
      <c r="A490" s="22" t="s">
        <v>619</v>
      </c>
      <c r="B490" s="74">
        <v>20</v>
      </c>
      <c r="C490" s="114">
        <v>2</v>
      </c>
      <c r="D490" s="2" t="s">
        <v>433</v>
      </c>
      <c r="E490" s="114"/>
      <c r="F490" s="153"/>
      <c r="G490" s="153"/>
      <c r="H490" s="152"/>
      <c r="I490" s="152"/>
      <c r="J490" s="152"/>
      <c r="K490" s="24" t="s">
        <v>289</v>
      </c>
      <c r="L490" s="24" t="s">
        <v>289</v>
      </c>
      <c r="N490" s="268"/>
    </row>
    <row r="491" spans="1:14" s="52" customFormat="1" ht="12" customHeight="1" x14ac:dyDescent="0.2">
      <c r="A491" s="22" t="s">
        <v>620</v>
      </c>
      <c r="B491" s="74">
        <v>20</v>
      </c>
      <c r="C491" s="114">
        <v>3</v>
      </c>
      <c r="D491" s="2" t="s">
        <v>433</v>
      </c>
      <c r="E491" s="114"/>
      <c r="F491" s="153"/>
      <c r="G491" s="153"/>
      <c r="H491" s="152"/>
      <c r="I491" s="152"/>
      <c r="J491" s="152"/>
      <c r="K491" s="24" t="s">
        <v>289</v>
      </c>
      <c r="L491" s="24" t="s">
        <v>289</v>
      </c>
      <c r="N491" s="268"/>
    </row>
    <row r="492" spans="1:14" s="52" customFormat="1" ht="12" customHeight="1" x14ac:dyDescent="0.2">
      <c r="A492" s="22" t="s">
        <v>621</v>
      </c>
      <c r="B492" s="74">
        <v>20</v>
      </c>
      <c r="C492" s="114">
        <v>4</v>
      </c>
      <c r="D492" s="2" t="s">
        <v>433</v>
      </c>
      <c r="E492" s="114"/>
      <c r="F492" s="18">
        <v>0</v>
      </c>
      <c r="G492" s="18">
        <v>0</v>
      </c>
      <c r="H492" s="18">
        <v>0</v>
      </c>
      <c r="I492" s="18">
        <v>0</v>
      </c>
      <c r="J492" s="18">
        <v>0</v>
      </c>
      <c r="K492" s="24" t="s">
        <v>289</v>
      </c>
      <c r="L492" s="24" t="s">
        <v>289</v>
      </c>
      <c r="N492" s="268"/>
    </row>
    <row r="493" spans="1:14" s="52" customFormat="1" ht="12" customHeight="1" x14ac:dyDescent="0.2">
      <c r="A493" s="22" t="s">
        <v>622</v>
      </c>
      <c r="B493" s="74">
        <v>20</v>
      </c>
      <c r="C493" s="114">
        <v>5</v>
      </c>
      <c r="D493" s="2" t="s">
        <v>433</v>
      </c>
      <c r="E493" s="114"/>
      <c r="F493" s="18">
        <v>0</v>
      </c>
      <c r="G493" s="18">
        <v>0</v>
      </c>
      <c r="H493" s="18">
        <v>0</v>
      </c>
      <c r="I493" s="18">
        <v>0</v>
      </c>
      <c r="J493" s="18">
        <v>0</v>
      </c>
      <c r="K493" s="24" t="s">
        <v>289</v>
      </c>
      <c r="L493" s="24" t="s">
        <v>289</v>
      </c>
      <c r="N493" s="268"/>
    </row>
    <row r="494" spans="1:14" s="52" customFormat="1" ht="12" customHeight="1" x14ac:dyDescent="0.2">
      <c r="A494" s="22" t="s">
        <v>623</v>
      </c>
      <c r="B494" s="74">
        <v>20</v>
      </c>
      <c r="C494" s="114">
        <v>6</v>
      </c>
      <c r="D494" s="2" t="s">
        <v>433</v>
      </c>
      <c r="E494" s="114"/>
      <c r="F494" s="18">
        <v>0</v>
      </c>
      <c r="G494" s="18">
        <v>0</v>
      </c>
      <c r="H494" s="18">
        <v>0</v>
      </c>
      <c r="I494" s="18">
        <v>0</v>
      </c>
      <c r="J494" s="18">
        <v>0</v>
      </c>
      <c r="K494" s="53">
        <f>SUM(F494:J494)</f>
        <v>0</v>
      </c>
      <c r="L494" s="24" t="s">
        <v>289</v>
      </c>
      <c r="N494" s="268"/>
    </row>
    <row r="495" spans="1:14" s="52" customFormat="1" ht="12" customHeight="1" x14ac:dyDescent="0.2">
      <c r="A495" s="22" t="s">
        <v>624</v>
      </c>
      <c r="B495" s="74">
        <v>20</v>
      </c>
      <c r="C495" s="114">
        <v>7</v>
      </c>
      <c r="D495" s="2" t="s">
        <v>433</v>
      </c>
      <c r="E495" s="114"/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3">
        <f t="shared" ref="K495:K502" si="36">SUM(F495:J495)</f>
        <v>0</v>
      </c>
      <c r="L495" s="24" t="s">
        <v>289</v>
      </c>
      <c r="N495" s="268"/>
    </row>
    <row r="496" spans="1:14" s="52" customFormat="1" ht="12" customHeight="1" x14ac:dyDescent="0.2">
      <c r="A496" s="22" t="s">
        <v>625</v>
      </c>
      <c r="B496" s="74">
        <v>20</v>
      </c>
      <c r="C496" s="114">
        <v>8</v>
      </c>
      <c r="D496" s="2" t="s">
        <v>433</v>
      </c>
      <c r="E496" s="114"/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si="36"/>
        <v>0</v>
      </c>
      <c r="L496" s="24" t="s">
        <v>289</v>
      </c>
      <c r="N496" s="268"/>
    </row>
    <row r="497" spans="1:14" s="52" customFormat="1" ht="12" customHeight="1" x14ac:dyDescent="0.2">
      <c r="A497" s="198" t="s">
        <v>626</v>
      </c>
      <c r="B497" s="199">
        <v>20</v>
      </c>
      <c r="C497" s="200">
        <v>9</v>
      </c>
      <c r="D497" s="201" t="s">
        <v>433</v>
      </c>
      <c r="E497" s="200"/>
      <c r="F497" s="18">
        <v>0</v>
      </c>
      <c r="G497" s="18">
        <v>0</v>
      </c>
      <c r="H497" s="18">
        <v>0</v>
      </c>
      <c r="I497" s="18">
        <v>0</v>
      </c>
      <c r="J497" s="18">
        <v>0</v>
      </c>
      <c r="K497" s="202">
        <f t="shared" si="36"/>
        <v>0</v>
      </c>
      <c r="L497" s="203" t="s">
        <v>289</v>
      </c>
      <c r="N497" s="268"/>
    </row>
    <row r="498" spans="1:14" s="52" customFormat="1" ht="12" customHeight="1" thickBot="1" x14ac:dyDescent="0.25">
      <c r="A498" s="22" t="s">
        <v>627</v>
      </c>
      <c r="B498" s="74">
        <v>20</v>
      </c>
      <c r="C498" s="114">
        <v>10</v>
      </c>
      <c r="D498" s="2" t="s">
        <v>433</v>
      </c>
      <c r="E498" s="114"/>
      <c r="F498" s="18">
        <v>0</v>
      </c>
      <c r="G498" s="18">
        <v>0</v>
      </c>
      <c r="H498" s="18">
        <v>0</v>
      </c>
      <c r="I498" s="18">
        <v>0</v>
      </c>
      <c r="J498" s="18">
        <v>0</v>
      </c>
      <c r="K498" s="53">
        <f t="shared" si="36"/>
        <v>0</v>
      </c>
      <c r="L498" s="24" t="s">
        <v>289</v>
      </c>
      <c r="N498" s="268"/>
    </row>
    <row r="499" spans="1:14" s="52" customFormat="1" ht="12" customHeight="1" thickTop="1" x14ac:dyDescent="0.2">
      <c r="A499" s="138" t="s">
        <v>628</v>
      </c>
      <c r="B499" s="44">
        <v>20</v>
      </c>
      <c r="C499" s="193">
        <v>11</v>
      </c>
      <c r="D499" s="39" t="s">
        <v>433</v>
      </c>
      <c r="E499" s="193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6"/>
        <v>0</v>
      </c>
      <c r="L499" s="45" t="s">
        <v>289</v>
      </c>
      <c r="N499" s="268"/>
    </row>
    <row r="500" spans="1:14" s="52" customFormat="1" ht="12" customHeight="1" x14ac:dyDescent="0.2">
      <c r="A500" s="198" t="s">
        <v>655</v>
      </c>
      <c r="B500" s="199">
        <v>20</v>
      </c>
      <c r="C500" s="200">
        <v>12</v>
      </c>
      <c r="D500" s="201" t="s">
        <v>433</v>
      </c>
      <c r="E500" s="200"/>
      <c r="F500" s="18">
        <v>0</v>
      </c>
      <c r="G500" s="18">
        <v>0</v>
      </c>
      <c r="H500" s="18">
        <v>0</v>
      </c>
      <c r="I500" s="18">
        <v>0</v>
      </c>
      <c r="J500" s="18">
        <v>0</v>
      </c>
      <c r="K500" s="202">
        <f t="shared" si="36"/>
        <v>0</v>
      </c>
      <c r="L500" s="203" t="s">
        <v>289</v>
      </c>
      <c r="N500" s="268"/>
    </row>
    <row r="501" spans="1:14" s="52" customFormat="1" ht="12" customHeight="1" thickBot="1" x14ac:dyDescent="0.25">
      <c r="A501" s="22" t="s">
        <v>629</v>
      </c>
      <c r="B501" s="74">
        <v>20</v>
      </c>
      <c r="C501" s="114">
        <v>13</v>
      </c>
      <c r="D501" s="2" t="s">
        <v>433</v>
      </c>
      <c r="E501" s="114"/>
      <c r="F501" s="18">
        <v>0</v>
      </c>
      <c r="G501" s="18">
        <v>0</v>
      </c>
      <c r="H501" s="18">
        <v>0</v>
      </c>
      <c r="I501" s="18">
        <v>0</v>
      </c>
      <c r="J501" s="18">
        <v>0</v>
      </c>
      <c r="K501" s="53">
        <f t="shared" si="36"/>
        <v>0</v>
      </c>
      <c r="L501" s="24" t="s">
        <v>289</v>
      </c>
      <c r="N501" s="268"/>
    </row>
    <row r="502" spans="1:14" s="52" customFormat="1" ht="12" customHeight="1" thickTop="1" x14ac:dyDescent="0.2">
      <c r="A502" s="138" t="s">
        <v>630</v>
      </c>
      <c r="B502" s="44">
        <v>20</v>
      </c>
      <c r="C502" s="193">
        <v>14</v>
      </c>
      <c r="D502" s="39" t="s">
        <v>433</v>
      </c>
      <c r="E502" s="193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6"/>
        <v>0</v>
      </c>
      <c r="L502" s="45" t="s">
        <v>289</v>
      </c>
      <c r="N502" s="268"/>
    </row>
    <row r="503" spans="1:14" s="52" customFormat="1" ht="12" customHeight="1" x14ac:dyDescent="0.2">
      <c r="A503" s="95"/>
      <c r="B503" s="104"/>
      <c r="C503" s="114"/>
      <c r="D503" s="114"/>
      <c r="E503" s="114"/>
      <c r="F503" s="102"/>
      <c r="G503" s="102"/>
      <c r="H503" s="105"/>
      <c r="I503" s="105"/>
      <c r="J503" s="105"/>
      <c r="K503" s="105"/>
      <c r="L503" s="105"/>
      <c r="N503" s="268"/>
    </row>
    <row r="504" spans="1:14" s="52" customFormat="1" ht="12" customHeight="1" x14ac:dyDescent="0.2"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68"/>
    </row>
    <row r="505" spans="1:14" s="52" customFormat="1" ht="12" customHeight="1" x14ac:dyDescent="0.2">
      <c r="B505" s="104"/>
      <c r="F505" s="52" t="s">
        <v>41</v>
      </c>
      <c r="G505" s="102" t="s">
        <v>42</v>
      </c>
      <c r="H505" s="102" t="s">
        <v>43</v>
      </c>
      <c r="I505" s="105" t="s">
        <v>44</v>
      </c>
      <c r="J505" s="24" t="s">
        <v>289</v>
      </c>
      <c r="K505" s="24" t="s">
        <v>289</v>
      </c>
      <c r="L505" s="24" t="s">
        <v>289</v>
      </c>
      <c r="N505" s="268"/>
    </row>
    <row r="506" spans="1:14" s="52" customFormat="1" ht="12" customHeight="1" x14ac:dyDescent="0.2">
      <c r="A506" s="95" t="s">
        <v>40</v>
      </c>
      <c r="B506" s="104">
        <v>20</v>
      </c>
      <c r="C506" s="114">
        <v>15</v>
      </c>
      <c r="D506" s="2" t="s">
        <v>433</v>
      </c>
      <c r="E506" s="114"/>
      <c r="F506" s="143"/>
      <c r="G506" s="143"/>
      <c r="H506" s="143"/>
      <c r="I506" s="143"/>
      <c r="J506" s="24" t="s">
        <v>289</v>
      </c>
      <c r="K506" s="24" t="s">
        <v>289</v>
      </c>
      <c r="L506" s="24" t="s">
        <v>289</v>
      </c>
      <c r="N506" s="268"/>
    </row>
    <row r="507" spans="1:14" s="52" customFormat="1" ht="12" customHeight="1" x14ac:dyDescent="0.2">
      <c r="A507" s="95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68"/>
    </row>
    <row r="508" spans="1:14" s="52" customFormat="1" ht="12" customHeight="1" x14ac:dyDescent="0.2">
      <c r="A508" s="145" t="s">
        <v>902</v>
      </c>
      <c r="B508" s="22"/>
      <c r="C508" s="22"/>
      <c r="D508" s="22"/>
      <c r="E508" s="22"/>
      <c r="F508" s="121" t="s">
        <v>46</v>
      </c>
      <c r="G508" s="121"/>
      <c r="H508" s="122" t="s">
        <v>47</v>
      </c>
      <c r="I508" s="122"/>
      <c r="J508" s="53"/>
      <c r="K508" s="53"/>
      <c r="L508" s="53"/>
      <c r="N508" s="268"/>
    </row>
    <row r="509" spans="1:14" s="52" customFormat="1" ht="12" customHeight="1" x14ac:dyDescent="0.2">
      <c r="A509" s="95"/>
      <c r="B509" s="22"/>
      <c r="C509" s="22"/>
      <c r="D509" s="22"/>
      <c r="E509" s="22"/>
      <c r="F509" s="112" t="s">
        <v>48</v>
      </c>
      <c r="G509" s="112" t="s">
        <v>49</v>
      </c>
      <c r="H509" s="113" t="s">
        <v>48</v>
      </c>
      <c r="I509" s="113" t="s">
        <v>49</v>
      </c>
      <c r="J509" s="53"/>
      <c r="K509" s="53"/>
      <c r="L509" s="53"/>
      <c r="N509" s="268"/>
    </row>
    <row r="510" spans="1:14" s="52" customFormat="1" ht="12" customHeight="1" x14ac:dyDescent="0.2">
      <c r="A510" s="22" t="s">
        <v>631</v>
      </c>
      <c r="B510" s="74">
        <v>20</v>
      </c>
      <c r="C510" s="114">
        <v>16</v>
      </c>
      <c r="D510" s="2" t="s">
        <v>433</v>
      </c>
      <c r="E510" s="114">
        <v>210</v>
      </c>
      <c r="F510" s="18">
        <v>0</v>
      </c>
      <c r="G510" s="24" t="s">
        <v>289</v>
      </c>
      <c r="H510" s="18">
        <v>0</v>
      </c>
      <c r="I510" s="24" t="s">
        <v>289</v>
      </c>
      <c r="J510" s="24" t="s">
        <v>289</v>
      </c>
      <c r="K510" s="24" t="s">
        <v>289</v>
      </c>
      <c r="L510" s="24" t="s">
        <v>289</v>
      </c>
      <c r="N510" s="268"/>
    </row>
    <row r="511" spans="1:14" s="52" customFormat="1" ht="12" customHeight="1" x14ac:dyDescent="0.2">
      <c r="A511" s="22" t="s">
        <v>632</v>
      </c>
      <c r="B511" s="74">
        <v>20</v>
      </c>
      <c r="C511" s="114">
        <v>17</v>
      </c>
      <c r="D511" s="2" t="s">
        <v>433</v>
      </c>
      <c r="E511" s="114">
        <v>220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68"/>
    </row>
    <row r="512" spans="1:14" s="52" customFormat="1" ht="12" customHeight="1" x14ac:dyDescent="0.2">
      <c r="A512" s="22" t="s">
        <v>633</v>
      </c>
      <c r="B512" s="74">
        <v>20</v>
      </c>
      <c r="C512" s="114">
        <v>18</v>
      </c>
      <c r="D512" s="2" t="s">
        <v>433</v>
      </c>
      <c r="E512" s="114">
        <v>230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68"/>
    </row>
    <row r="513" spans="1:14" s="52" customFormat="1" ht="12" customHeight="1" x14ac:dyDescent="0.2">
      <c r="A513" s="22" t="s">
        <v>634</v>
      </c>
      <c r="B513" s="74">
        <v>20</v>
      </c>
      <c r="C513" s="114">
        <v>19</v>
      </c>
      <c r="D513" s="2" t="s">
        <v>433</v>
      </c>
      <c r="E513" s="114">
        <v>240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68"/>
    </row>
    <row r="514" spans="1:14" s="52" customFormat="1" ht="12" customHeight="1" x14ac:dyDescent="0.2">
      <c r="A514" s="22" t="s">
        <v>635</v>
      </c>
      <c r="B514" s="74">
        <v>20</v>
      </c>
      <c r="C514" s="114">
        <v>20</v>
      </c>
      <c r="D514" s="2" t="s">
        <v>433</v>
      </c>
      <c r="E514" s="114">
        <v>250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68"/>
    </row>
    <row r="515" spans="1:14" s="52" customFormat="1" ht="12" customHeight="1" thickBot="1" x14ac:dyDescent="0.25">
      <c r="A515" s="22" t="s">
        <v>636</v>
      </c>
      <c r="B515" s="74">
        <v>20</v>
      </c>
      <c r="C515" s="114">
        <v>21</v>
      </c>
      <c r="D515" s="2" t="s">
        <v>433</v>
      </c>
      <c r="E515" s="114">
        <v>710</v>
      </c>
      <c r="F515" s="24" t="s">
        <v>289</v>
      </c>
      <c r="G515" s="18">
        <v>0</v>
      </c>
      <c r="H515" s="24" t="s">
        <v>289</v>
      </c>
      <c r="I515" s="18">
        <v>0</v>
      </c>
      <c r="J515" s="24" t="s">
        <v>289</v>
      </c>
      <c r="K515" s="24" t="s">
        <v>289</v>
      </c>
      <c r="L515" s="24" t="s">
        <v>289</v>
      </c>
      <c r="N515" s="268"/>
    </row>
    <row r="516" spans="1:14" s="52" customFormat="1" ht="12" customHeight="1" thickTop="1" x14ac:dyDescent="0.2">
      <c r="A516" s="95" t="s">
        <v>428</v>
      </c>
      <c r="B516" s="74">
        <v>20</v>
      </c>
      <c r="C516" s="114">
        <v>22</v>
      </c>
      <c r="D516" s="2" t="s">
        <v>433</v>
      </c>
      <c r="E516" s="114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68"/>
    </row>
    <row r="517" spans="1:14" s="52" customFormat="1" ht="12" customHeight="1" x14ac:dyDescent="0.2">
      <c r="A517" s="95" t="s">
        <v>702</v>
      </c>
      <c r="B517" s="104"/>
      <c r="C517" s="114"/>
      <c r="D517" s="114"/>
      <c r="E517" s="114"/>
      <c r="F517" s="175" t="s">
        <v>693</v>
      </c>
      <c r="G517" s="175" t="s">
        <v>694</v>
      </c>
      <c r="H517" s="175" t="s">
        <v>695</v>
      </c>
      <c r="I517" s="175" t="s">
        <v>696</v>
      </c>
      <c r="J517" s="175" t="s">
        <v>697</v>
      </c>
      <c r="K517" s="175" t="s">
        <v>698</v>
      </c>
      <c r="L517" s="105"/>
      <c r="N517" s="268"/>
    </row>
    <row r="518" spans="1:14" s="52" customFormat="1" ht="12" customHeight="1" x14ac:dyDescent="0.2">
      <c r="A518" s="176" t="s">
        <v>701</v>
      </c>
      <c r="B518" s="104"/>
      <c r="C518" s="114"/>
      <c r="D518" s="114"/>
      <c r="E518" s="114"/>
      <c r="F518" s="102" t="s">
        <v>54</v>
      </c>
      <c r="G518" s="102" t="s">
        <v>55</v>
      </c>
      <c r="H518" s="105" t="s">
        <v>56</v>
      </c>
      <c r="I518" s="105" t="s">
        <v>57</v>
      </c>
      <c r="J518" s="105" t="s">
        <v>58</v>
      </c>
      <c r="K518" s="105" t="s">
        <v>59</v>
      </c>
      <c r="L518" s="105" t="s">
        <v>5</v>
      </c>
      <c r="N518" s="268"/>
    </row>
    <row r="519" spans="1:14" s="52" customFormat="1" ht="12" customHeight="1" x14ac:dyDescent="0.2">
      <c r="A519" s="95" t="s">
        <v>60</v>
      </c>
      <c r="B519" s="104"/>
      <c r="C519" s="114"/>
      <c r="D519" s="114"/>
      <c r="E519" s="114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68"/>
    </row>
    <row r="520" spans="1:14" s="52" customFormat="1" ht="12" customHeight="1" x14ac:dyDescent="0.2">
      <c r="A520" s="22" t="s">
        <v>637</v>
      </c>
      <c r="B520" s="104">
        <v>21</v>
      </c>
      <c r="C520" s="114">
        <v>1</v>
      </c>
      <c r="D520" s="2" t="s">
        <v>433</v>
      </c>
      <c r="E520" s="114"/>
      <c r="F520" s="18">
        <v>387194.00999999995</v>
      </c>
      <c r="G520" s="18">
        <v>115870.37999999999</v>
      </c>
      <c r="H520" s="18">
        <v>31956.74</v>
      </c>
      <c r="I520" s="18">
        <v>3264.13</v>
      </c>
      <c r="J520" s="18">
        <v>4236.93</v>
      </c>
      <c r="K520" s="18">
        <v>0</v>
      </c>
      <c r="L520" s="87">
        <f>SUM(F520:K520)</f>
        <v>542522.19000000006</v>
      </c>
      <c r="N520" s="268"/>
    </row>
    <row r="521" spans="1:14" s="52" customFormat="1" ht="12" customHeight="1" x14ac:dyDescent="0.2">
      <c r="A521" s="22" t="s">
        <v>638</v>
      </c>
      <c r="B521" s="104">
        <v>21</v>
      </c>
      <c r="C521" s="114">
        <v>2</v>
      </c>
      <c r="D521" s="2" t="s">
        <v>433</v>
      </c>
      <c r="E521" s="114"/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18">
        <v>0</v>
      </c>
      <c r="L521" s="87">
        <f>SUM(F521:K521)</f>
        <v>0</v>
      </c>
      <c r="N521" s="268"/>
    </row>
    <row r="522" spans="1:14" s="52" customFormat="1" ht="12" customHeight="1" thickBot="1" x14ac:dyDescent="0.25">
      <c r="A522" s="22" t="s">
        <v>639</v>
      </c>
      <c r="B522" s="104">
        <v>21</v>
      </c>
      <c r="C522" s="114">
        <v>3</v>
      </c>
      <c r="D522" s="2" t="s">
        <v>433</v>
      </c>
      <c r="E522" s="114"/>
      <c r="F522" s="18">
        <v>0</v>
      </c>
      <c r="G522" s="18">
        <v>0</v>
      </c>
      <c r="H522" s="18">
        <v>147367.76999999999</v>
      </c>
      <c r="I522" s="18">
        <v>0</v>
      </c>
      <c r="J522" s="18">
        <v>0</v>
      </c>
      <c r="K522" s="18">
        <v>0</v>
      </c>
      <c r="L522" s="87">
        <f>SUM(F522:K522)</f>
        <v>147367.76999999999</v>
      </c>
      <c r="N522" s="268"/>
    </row>
    <row r="523" spans="1:14" s="52" customFormat="1" ht="12" customHeight="1" thickTop="1" x14ac:dyDescent="0.2">
      <c r="A523" s="138" t="s">
        <v>63</v>
      </c>
      <c r="B523" s="106">
        <v>21</v>
      </c>
      <c r="C523" s="193">
        <v>4</v>
      </c>
      <c r="D523" s="194" t="s">
        <v>433</v>
      </c>
      <c r="E523" s="193"/>
      <c r="F523" s="107">
        <f>SUM(F520:F522)</f>
        <v>387194.00999999995</v>
      </c>
      <c r="G523" s="107">
        <f t="shared" ref="G523:L523" si="37">SUM(G520:G522)</f>
        <v>115870.37999999999</v>
      </c>
      <c r="H523" s="107">
        <f t="shared" si="37"/>
        <v>179324.50999999998</v>
      </c>
      <c r="I523" s="107">
        <f t="shared" si="37"/>
        <v>3264.13</v>
      </c>
      <c r="J523" s="107">
        <f t="shared" si="37"/>
        <v>4236.93</v>
      </c>
      <c r="K523" s="107">
        <f t="shared" si="37"/>
        <v>0</v>
      </c>
      <c r="L523" s="88">
        <f t="shared" si="37"/>
        <v>689889.96000000008</v>
      </c>
      <c r="N523" s="268"/>
    </row>
    <row r="524" spans="1:14" s="52" customFormat="1" ht="12" customHeight="1" x14ac:dyDescent="0.2">
      <c r="A524" s="95" t="s">
        <v>64</v>
      </c>
      <c r="B524" s="104"/>
      <c r="C524" s="114"/>
      <c r="D524" s="114"/>
      <c r="E524" s="114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68"/>
    </row>
    <row r="525" spans="1:14" s="3" customFormat="1" ht="12" customHeight="1" x14ac:dyDescent="0.15">
      <c r="A525" s="22" t="s">
        <v>637</v>
      </c>
      <c r="B525" s="104">
        <v>21</v>
      </c>
      <c r="C525" s="114">
        <v>5</v>
      </c>
      <c r="D525" s="2" t="s">
        <v>433</v>
      </c>
      <c r="E525" s="114"/>
      <c r="F525" s="18">
        <v>79453.58</v>
      </c>
      <c r="G525" s="18">
        <v>36585.83</v>
      </c>
      <c r="H525" s="18">
        <v>46153.47</v>
      </c>
      <c r="I525" s="18">
        <v>6167.79</v>
      </c>
      <c r="J525" s="18">
        <v>0</v>
      </c>
      <c r="K525" s="18">
        <v>0</v>
      </c>
      <c r="L525" s="87">
        <f>SUM(F525:K525)</f>
        <v>168360.67</v>
      </c>
      <c r="M525" s="8"/>
      <c r="N525" s="269"/>
    </row>
    <row r="526" spans="1:14" s="3" customFormat="1" ht="12" customHeight="1" x14ac:dyDescent="0.15">
      <c r="A526" s="22" t="s">
        <v>638</v>
      </c>
      <c r="B526" s="104">
        <v>21</v>
      </c>
      <c r="C526" s="114">
        <v>6</v>
      </c>
      <c r="D526" s="2" t="s">
        <v>433</v>
      </c>
      <c r="E526" s="114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7">
        <f>SUM(F526:K526)</f>
        <v>0</v>
      </c>
      <c r="M526" s="8"/>
      <c r="N526" s="269"/>
    </row>
    <row r="527" spans="1:14" s="3" customFormat="1" ht="12" customHeight="1" thickBot="1" x14ac:dyDescent="0.2">
      <c r="A527" s="22" t="s">
        <v>639</v>
      </c>
      <c r="B527" s="117">
        <v>21</v>
      </c>
      <c r="C527" s="117">
        <v>7</v>
      </c>
      <c r="D527" s="2" t="s">
        <v>433</v>
      </c>
      <c r="E527" s="117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7">
        <f>SUM(F527:K527)</f>
        <v>0</v>
      </c>
      <c r="M527" s="8"/>
      <c r="N527" s="269"/>
    </row>
    <row r="528" spans="1:14" s="3" customFormat="1" ht="12" customHeight="1" thickTop="1" x14ac:dyDescent="0.15">
      <c r="A528" s="138" t="s">
        <v>65</v>
      </c>
      <c r="B528" s="106">
        <v>21</v>
      </c>
      <c r="C528" s="106">
        <v>8</v>
      </c>
      <c r="D528" s="156" t="s">
        <v>433</v>
      </c>
      <c r="E528" s="106"/>
      <c r="F528" s="88">
        <f>SUM(F525:F527)</f>
        <v>79453.58</v>
      </c>
      <c r="G528" s="88">
        <f t="shared" ref="G528:L528" si="38">SUM(G525:G527)</f>
        <v>36585.83</v>
      </c>
      <c r="H528" s="88">
        <f t="shared" si="38"/>
        <v>46153.47</v>
      </c>
      <c r="I528" s="88">
        <f t="shared" si="38"/>
        <v>6167.79</v>
      </c>
      <c r="J528" s="88">
        <f t="shared" si="38"/>
        <v>0</v>
      </c>
      <c r="K528" s="88">
        <f t="shared" si="38"/>
        <v>0</v>
      </c>
      <c r="L528" s="88">
        <f t="shared" si="38"/>
        <v>168360.67</v>
      </c>
      <c r="M528" s="8"/>
      <c r="N528" s="269"/>
    </row>
    <row r="529" spans="1:14" s="3" customFormat="1" ht="12" customHeight="1" x14ac:dyDescent="0.15">
      <c r="A529" s="96" t="s">
        <v>66</v>
      </c>
      <c r="B529" s="104"/>
      <c r="C529" s="104"/>
      <c r="D529" s="104"/>
      <c r="E529" s="104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69"/>
    </row>
    <row r="530" spans="1:14" s="3" customFormat="1" ht="12" customHeight="1" x14ac:dyDescent="0.15">
      <c r="A530" s="22" t="s">
        <v>637</v>
      </c>
      <c r="B530" s="104">
        <v>21</v>
      </c>
      <c r="C530" s="104">
        <v>9</v>
      </c>
      <c r="D530" s="2" t="s">
        <v>433</v>
      </c>
      <c r="E530" s="104"/>
      <c r="F530" s="18">
        <v>26189.315019278096</v>
      </c>
      <c r="G530" s="18">
        <v>13829.321005509595</v>
      </c>
      <c r="H530" s="18">
        <v>0</v>
      </c>
      <c r="I530" s="18">
        <v>70.686000000000007</v>
      </c>
      <c r="J530" s="18">
        <v>0</v>
      </c>
      <c r="K530" s="18">
        <v>0</v>
      </c>
      <c r="L530" s="87">
        <f>SUM(F530:K530)</f>
        <v>40089.322024787689</v>
      </c>
      <c r="M530" s="8"/>
      <c r="N530" s="269"/>
    </row>
    <row r="531" spans="1:14" s="3" customFormat="1" ht="12" customHeight="1" x14ac:dyDescent="0.15">
      <c r="A531" s="22" t="s">
        <v>638</v>
      </c>
      <c r="B531" s="104">
        <v>21</v>
      </c>
      <c r="C531" s="104">
        <v>10</v>
      </c>
      <c r="D531" s="2" t="s">
        <v>433</v>
      </c>
      <c r="E531" s="104"/>
      <c r="F531" s="18">
        <v>0</v>
      </c>
      <c r="G531" s="18">
        <v>0</v>
      </c>
      <c r="H531" s="18">
        <v>0</v>
      </c>
      <c r="I531" s="18">
        <v>0</v>
      </c>
      <c r="J531" s="18">
        <v>0</v>
      </c>
      <c r="K531" s="18">
        <v>0</v>
      </c>
      <c r="L531" s="87">
        <f>SUM(F531:K531)</f>
        <v>0</v>
      </c>
      <c r="M531" s="8"/>
      <c r="N531" s="269"/>
    </row>
    <row r="532" spans="1:14" s="3" customFormat="1" ht="12" customHeight="1" thickBot="1" x14ac:dyDescent="0.2">
      <c r="A532" s="22" t="s">
        <v>639</v>
      </c>
      <c r="B532" s="104">
        <v>21</v>
      </c>
      <c r="C532" s="104">
        <v>11</v>
      </c>
      <c r="D532" s="2" t="s">
        <v>433</v>
      </c>
      <c r="E532" s="104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7">
        <f>SUM(F532:K532)</f>
        <v>0</v>
      </c>
      <c r="M532" s="8"/>
      <c r="N532" s="269"/>
    </row>
    <row r="533" spans="1:14" s="3" customFormat="1" ht="12" customHeight="1" thickTop="1" x14ac:dyDescent="0.15">
      <c r="A533" s="138" t="s">
        <v>67</v>
      </c>
      <c r="B533" s="106">
        <v>21</v>
      </c>
      <c r="C533" s="106">
        <v>12</v>
      </c>
      <c r="D533" s="156" t="s">
        <v>433</v>
      </c>
      <c r="E533" s="106"/>
      <c r="F533" s="88">
        <f>SUM(F530:F532)</f>
        <v>26189.315019278096</v>
      </c>
      <c r="G533" s="88">
        <f t="shared" ref="G533:L533" si="39">SUM(G530:G532)</f>
        <v>13829.321005509595</v>
      </c>
      <c r="H533" s="88">
        <f t="shared" si="39"/>
        <v>0</v>
      </c>
      <c r="I533" s="88">
        <f t="shared" si="39"/>
        <v>70.686000000000007</v>
      </c>
      <c r="J533" s="88">
        <f t="shared" si="39"/>
        <v>0</v>
      </c>
      <c r="K533" s="88">
        <f t="shared" si="39"/>
        <v>0</v>
      </c>
      <c r="L533" s="88">
        <f t="shared" si="39"/>
        <v>40089.322024787689</v>
      </c>
      <c r="M533" s="8"/>
      <c r="N533" s="269"/>
    </row>
    <row r="534" spans="1:14" s="3" customFormat="1" ht="12" customHeight="1" x14ac:dyDescent="0.15">
      <c r="A534" s="96" t="s">
        <v>68</v>
      </c>
      <c r="B534" s="104"/>
      <c r="C534" s="104"/>
      <c r="D534" s="104"/>
      <c r="E534" s="104"/>
      <c r="F534" s="192" t="s">
        <v>289</v>
      </c>
      <c r="G534" s="192" t="s">
        <v>289</v>
      </c>
      <c r="H534" s="192" t="s">
        <v>289</v>
      </c>
      <c r="I534" s="192" t="s">
        <v>289</v>
      </c>
      <c r="J534" s="192" t="s">
        <v>289</v>
      </c>
      <c r="K534" s="192" t="s">
        <v>289</v>
      </c>
      <c r="L534" s="192" t="s">
        <v>289</v>
      </c>
      <c r="M534" s="8"/>
      <c r="N534" s="269"/>
    </row>
    <row r="535" spans="1:14" s="3" customFormat="1" ht="12" customHeight="1" x14ac:dyDescent="0.15">
      <c r="A535" s="22" t="s">
        <v>637</v>
      </c>
      <c r="B535" s="104">
        <v>21</v>
      </c>
      <c r="C535" s="104">
        <v>13</v>
      </c>
      <c r="D535" s="2" t="s">
        <v>433</v>
      </c>
      <c r="E535" s="104"/>
      <c r="F535" s="18">
        <v>0</v>
      </c>
      <c r="G535" s="18">
        <v>0</v>
      </c>
      <c r="H535" s="18">
        <v>136.18</v>
      </c>
      <c r="I535" s="18">
        <v>0</v>
      </c>
      <c r="J535" s="18">
        <v>0</v>
      </c>
      <c r="K535" s="18">
        <v>0</v>
      </c>
      <c r="L535" s="87">
        <f>SUM(F535:K535)</f>
        <v>136.18</v>
      </c>
      <c r="M535" s="8"/>
      <c r="N535" s="269"/>
    </row>
    <row r="536" spans="1:14" s="3" customFormat="1" ht="12" customHeight="1" x14ac:dyDescent="0.15">
      <c r="A536" s="22" t="s">
        <v>638</v>
      </c>
      <c r="B536" s="104">
        <v>21</v>
      </c>
      <c r="C536" s="104">
        <v>14</v>
      </c>
      <c r="D536" s="2" t="s">
        <v>433</v>
      </c>
      <c r="E536" s="104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7">
        <f>SUM(F536:K536)</f>
        <v>0</v>
      </c>
      <c r="M536" s="8"/>
      <c r="N536" s="269"/>
    </row>
    <row r="537" spans="1:14" s="3" customFormat="1" ht="12" customHeight="1" thickBot="1" x14ac:dyDescent="0.2">
      <c r="A537" s="22" t="s">
        <v>639</v>
      </c>
      <c r="B537" s="104">
        <v>21</v>
      </c>
      <c r="C537" s="104">
        <v>15</v>
      </c>
      <c r="D537" s="2" t="s">
        <v>433</v>
      </c>
      <c r="E537" s="104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7">
        <f>SUM(F537:K537)</f>
        <v>0</v>
      </c>
      <c r="M537" s="8"/>
      <c r="N537" s="269"/>
    </row>
    <row r="538" spans="1:14" s="3" customFormat="1" ht="12" customHeight="1" thickTop="1" x14ac:dyDescent="0.15">
      <c r="A538" s="138" t="s">
        <v>69</v>
      </c>
      <c r="B538" s="106">
        <v>21</v>
      </c>
      <c r="C538" s="106">
        <v>16</v>
      </c>
      <c r="D538" s="156" t="s">
        <v>433</v>
      </c>
      <c r="E538" s="106"/>
      <c r="F538" s="88">
        <f>SUM(F535:F537)</f>
        <v>0</v>
      </c>
      <c r="G538" s="88">
        <f t="shared" ref="G538:L538" si="40">SUM(G535:G537)</f>
        <v>0</v>
      </c>
      <c r="H538" s="88">
        <f t="shared" si="40"/>
        <v>136.18</v>
      </c>
      <c r="I538" s="88">
        <f t="shared" si="40"/>
        <v>0</v>
      </c>
      <c r="J538" s="88">
        <f t="shared" si="40"/>
        <v>0</v>
      </c>
      <c r="K538" s="88">
        <f t="shared" si="40"/>
        <v>0</v>
      </c>
      <c r="L538" s="88">
        <f t="shared" si="40"/>
        <v>136.18</v>
      </c>
      <c r="M538" s="8"/>
      <c r="N538" s="269"/>
    </row>
    <row r="539" spans="1:14" s="3" customFormat="1" ht="12" customHeight="1" x14ac:dyDescent="0.15">
      <c r="A539" s="96" t="s">
        <v>70</v>
      </c>
      <c r="B539" s="104"/>
      <c r="C539" s="104"/>
      <c r="D539" s="104"/>
      <c r="E539" s="104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69"/>
    </row>
    <row r="540" spans="1:14" s="3" customFormat="1" ht="12" customHeight="1" x14ac:dyDescent="0.15">
      <c r="A540" s="22" t="s">
        <v>637</v>
      </c>
      <c r="B540" s="104">
        <v>21</v>
      </c>
      <c r="C540" s="104">
        <v>17</v>
      </c>
      <c r="D540" s="2" t="s">
        <v>433</v>
      </c>
      <c r="E540" s="104"/>
      <c r="F540" s="18">
        <v>0</v>
      </c>
      <c r="G540" s="18">
        <v>0</v>
      </c>
      <c r="H540" s="18">
        <v>16074.14</v>
      </c>
      <c r="I540" s="18">
        <v>0</v>
      </c>
      <c r="J540" s="18">
        <v>0</v>
      </c>
      <c r="K540" s="18">
        <v>0</v>
      </c>
      <c r="L540" s="87">
        <f>SUM(F540:K540)</f>
        <v>16074.14</v>
      </c>
      <c r="M540" s="8"/>
      <c r="N540" s="269"/>
    </row>
    <row r="541" spans="1:14" s="3" customFormat="1" ht="12" customHeight="1" x14ac:dyDescent="0.15">
      <c r="A541" s="22" t="s">
        <v>638</v>
      </c>
      <c r="B541" s="104">
        <v>21</v>
      </c>
      <c r="C541" s="104">
        <v>18</v>
      </c>
      <c r="D541" s="2" t="s">
        <v>433</v>
      </c>
      <c r="E541" s="104"/>
      <c r="F541" s="18">
        <v>0</v>
      </c>
      <c r="G541" s="18">
        <v>0</v>
      </c>
      <c r="H541" s="18">
        <v>3689.15</v>
      </c>
      <c r="I541" s="18">
        <v>0</v>
      </c>
      <c r="J541" s="18">
        <v>0</v>
      </c>
      <c r="K541" s="18">
        <v>0</v>
      </c>
      <c r="L541" s="87">
        <f>SUM(F541:K541)</f>
        <v>3689.15</v>
      </c>
      <c r="M541" s="8"/>
      <c r="N541" s="269"/>
    </row>
    <row r="542" spans="1:14" s="3" customFormat="1" ht="12" customHeight="1" thickBot="1" x14ac:dyDescent="0.2">
      <c r="A542" s="22" t="s">
        <v>639</v>
      </c>
      <c r="B542" s="104">
        <v>21</v>
      </c>
      <c r="C542" s="104">
        <v>19</v>
      </c>
      <c r="D542" s="2" t="s">
        <v>433</v>
      </c>
      <c r="E542" s="104"/>
      <c r="F542" s="18">
        <v>0</v>
      </c>
      <c r="G542" s="18">
        <v>0</v>
      </c>
      <c r="H542" s="18">
        <v>8168.82</v>
      </c>
      <c r="I542" s="18">
        <v>0</v>
      </c>
      <c r="J542" s="18">
        <v>0</v>
      </c>
      <c r="K542" s="18">
        <v>0</v>
      </c>
      <c r="L542" s="87">
        <f>SUM(F542:K542)</f>
        <v>8168.82</v>
      </c>
      <c r="M542" s="8"/>
      <c r="N542" s="269"/>
    </row>
    <row r="543" spans="1:14" s="3" customFormat="1" ht="12" customHeight="1" thickTop="1" thickBot="1" x14ac:dyDescent="0.2">
      <c r="A543" s="129" t="s">
        <v>71</v>
      </c>
      <c r="B543" s="189">
        <v>21</v>
      </c>
      <c r="C543" s="189">
        <v>20</v>
      </c>
      <c r="D543" s="190" t="s">
        <v>433</v>
      </c>
      <c r="E543" s="189"/>
      <c r="F543" s="191">
        <f>SUM(F540:F542)</f>
        <v>0</v>
      </c>
      <c r="G543" s="191">
        <f t="shared" ref="G543:L543" si="41">SUM(G540:G542)</f>
        <v>0</v>
      </c>
      <c r="H543" s="191">
        <f t="shared" si="41"/>
        <v>27932.11</v>
      </c>
      <c r="I543" s="191">
        <f t="shared" si="41"/>
        <v>0</v>
      </c>
      <c r="J543" s="191">
        <f t="shared" si="41"/>
        <v>0</v>
      </c>
      <c r="K543" s="191">
        <f t="shared" si="41"/>
        <v>0</v>
      </c>
      <c r="L543" s="191">
        <f t="shared" si="41"/>
        <v>27932.11</v>
      </c>
      <c r="M543" s="8"/>
      <c r="N543" s="269"/>
    </row>
    <row r="544" spans="1:14" s="3" customFormat="1" ht="12" customHeight="1" thickTop="1" x14ac:dyDescent="0.15">
      <c r="A544" s="97" t="s">
        <v>72</v>
      </c>
      <c r="B544" s="106">
        <v>21</v>
      </c>
      <c r="C544" s="106">
        <v>21</v>
      </c>
      <c r="D544" s="156" t="s">
        <v>433</v>
      </c>
      <c r="E544" s="106"/>
      <c r="F544" s="88">
        <f>F523+F528+F533+F538+F543</f>
        <v>492836.90501927806</v>
      </c>
      <c r="G544" s="88">
        <f t="shared" ref="G544:L544" si="42">G523+G528+G533+G538+G543</f>
        <v>166285.53100550958</v>
      </c>
      <c r="H544" s="88">
        <f t="shared" si="42"/>
        <v>253546.26999999996</v>
      </c>
      <c r="I544" s="88">
        <f t="shared" si="42"/>
        <v>9502.6059999999998</v>
      </c>
      <c r="J544" s="88">
        <f t="shared" si="42"/>
        <v>4236.93</v>
      </c>
      <c r="K544" s="88">
        <f t="shared" si="42"/>
        <v>0</v>
      </c>
      <c r="L544" s="88">
        <f t="shared" si="42"/>
        <v>926408.24202478782</v>
      </c>
      <c r="M544" s="8"/>
      <c r="N544" s="269"/>
    </row>
    <row r="545" spans="1:14" s="3" customFormat="1" ht="12" customHeight="1" x14ac:dyDescent="0.15">
      <c r="A545" s="98"/>
      <c r="B545" s="104"/>
      <c r="C545" s="104"/>
      <c r="D545" s="104"/>
      <c r="E545" s="104"/>
      <c r="F545" s="86"/>
      <c r="G545" s="86"/>
      <c r="H545" s="86"/>
      <c r="I545" s="86"/>
      <c r="J545" s="86"/>
      <c r="K545" s="86"/>
      <c r="L545" s="86"/>
      <c r="M545" s="8"/>
      <c r="N545" s="269"/>
    </row>
    <row r="546" spans="1:14" s="3" customFormat="1" ht="12" customHeight="1" x14ac:dyDescent="0.15">
      <c r="A546" s="99" t="s">
        <v>73</v>
      </c>
      <c r="B546" s="104"/>
      <c r="C546" s="104"/>
      <c r="D546" s="104"/>
      <c r="E546" s="104"/>
      <c r="F546" s="100" t="s">
        <v>74</v>
      </c>
      <c r="G546" s="86" t="s">
        <v>75</v>
      </c>
      <c r="H546" s="86" t="s">
        <v>76</v>
      </c>
      <c r="I546" s="100" t="s">
        <v>77</v>
      </c>
      <c r="J546" s="86" t="s">
        <v>78</v>
      </c>
      <c r="K546" s="100" t="s">
        <v>79</v>
      </c>
      <c r="L546" s="24" t="s">
        <v>289</v>
      </c>
      <c r="M546" s="8"/>
      <c r="N546" s="269"/>
    </row>
    <row r="547" spans="1:14" s="3" customFormat="1" ht="12" customHeight="1" x14ac:dyDescent="0.15">
      <c r="A547" s="99" t="s">
        <v>250</v>
      </c>
      <c r="B547" s="104"/>
      <c r="C547" s="104"/>
      <c r="D547" s="104"/>
      <c r="E547" s="104"/>
      <c r="F547" s="100" t="s">
        <v>80</v>
      </c>
      <c r="G547" s="100" t="s">
        <v>81</v>
      </c>
      <c r="H547" s="100" t="s">
        <v>82</v>
      </c>
      <c r="I547" s="100" t="s">
        <v>83</v>
      </c>
      <c r="J547" s="100" t="s">
        <v>84</v>
      </c>
      <c r="K547" s="86"/>
      <c r="L547" s="24" t="s">
        <v>289</v>
      </c>
      <c r="M547" s="8"/>
      <c r="N547" s="269"/>
    </row>
    <row r="548" spans="1:14" s="3" customFormat="1" ht="12" customHeight="1" x14ac:dyDescent="0.15">
      <c r="A548" s="22" t="s">
        <v>637</v>
      </c>
      <c r="B548" s="74">
        <v>21</v>
      </c>
      <c r="C548" s="74">
        <v>22</v>
      </c>
      <c r="D548" s="2" t="s">
        <v>433</v>
      </c>
      <c r="E548" s="74"/>
      <c r="F548" s="86">
        <f>L520</f>
        <v>542522.19000000006</v>
      </c>
      <c r="G548" s="86">
        <f>L525</f>
        <v>168360.67</v>
      </c>
      <c r="H548" s="86">
        <f>L530</f>
        <v>40089.322024787689</v>
      </c>
      <c r="I548" s="86">
        <f>L535</f>
        <v>136.18</v>
      </c>
      <c r="J548" s="86">
        <f>L540</f>
        <v>16074.14</v>
      </c>
      <c r="K548" s="86">
        <f>SUM(F548:J548)</f>
        <v>767182.50202478783</v>
      </c>
      <c r="L548" s="24" t="s">
        <v>289</v>
      </c>
      <c r="M548" s="8"/>
      <c r="N548" s="269"/>
    </row>
    <row r="549" spans="1:14" s="3" customFormat="1" ht="12" customHeight="1" x14ac:dyDescent="0.15">
      <c r="A549" s="22" t="s">
        <v>638</v>
      </c>
      <c r="B549" s="74">
        <v>21</v>
      </c>
      <c r="C549" s="74">
        <v>23</v>
      </c>
      <c r="D549" s="2" t="s">
        <v>433</v>
      </c>
      <c r="E549" s="74"/>
      <c r="F549" s="86">
        <f>L521</f>
        <v>0</v>
      </c>
      <c r="G549" s="86">
        <f>L526</f>
        <v>0</v>
      </c>
      <c r="H549" s="86">
        <f>L531</f>
        <v>0</v>
      </c>
      <c r="I549" s="86">
        <f>L536</f>
        <v>0</v>
      </c>
      <c r="J549" s="86">
        <f>L541</f>
        <v>3689.15</v>
      </c>
      <c r="K549" s="86">
        <f>SUM(F549:J549)</f>
        <v>3689.15</v>
      </c>
      <c r="L549" s="24" t="s">
        <v>289</v>
      </c>
      <c r="M549" s="8"/>
      <c r="N549" s="269"/>
    </row>
    <row r="550" spans="1:14" s="3" customFormat="1" ht="12" customHeight="1" thickBot="1" x14ac:dyDescent="0.2">
      <c r="A550" s="22" t="s">
        <v>639</v>
      </c>
      <c r="B550" s="74">
        <v>21</v>
      </c>
      <c r="C550" s="74">
        <v>24</v>
      </c>
      <c r="D550" s="2" t="s">
        <v>433</v>
      </c>
      <c r="E550" s="74"/>
      <c r="F550" s="86">
        <f>L522</f>
        <v>147367.76999999999</v>
      </c>
      <c r="G550" s="86">
        <f>L527</f>
        <v>0</v>
      </c>
      <c r="H550" s="86">
        <f>L532</f>
        <v>0</v>
      </c>
      <c r="I550" s="86">
        <f>L537</f>
        <v>0</v>
      </c>
      <c r="J550" s="86">
        <f>L542</f>
        <v>8168.82</v>
      </c>
      <c r="K550" s="86">
        <f>SUM(F550:J550)</f>
        <v>155536.59</v>
      </c>
      <c r="L550" s="24" t="s">
        <v>289</v>
      </c>
      <c r="M550" s="8"/>
      <c r="N550" s="269"/>
    </row>
    <row r="551" spans="1:14" s="3" customFormat="1" ht="12" customHeight="1" thickTop="1" x14ac:dyDescent="0.15">
      <c r="A551" s="170" t="s">
        <v>341</v>
      </c>
      <c r="B551" s="44">
        <v>21</v>
      </c>
      <c r="C551" s="44">
        <v>25</v>
      </c>
      <c r="D551" s="39" t="s">
        <v>433</v>
      </c>
      <c r="E551" s="44"/>
      <c r="F551" s="88">
        <f t="shared" ref="F551:K551" si="43">SUM(F548:F550)</f>
        <v>689889.96000000008</v>
      </c>
      <c r="G551" s="88">
        <f t="shared" si="43"/>
        <v>168360.67</v>
      </c>
      <c r="H551" s="88">
        <f t="shared" si="43"/>
        <v>40089.322024787689</v>
      </c>
      <c r="I551" s="88">
        <f t="shared" si="43"/>
        <v>136.18</v>
      </c>
      <c r="J551" s="88">
        <f t="shared" si="43"/>
        <v>27932.11</v>
      </c>
      <c r="K551" s="88">
        <f t="shared" si="43"/>
        <v>926408.24202478782</v>
      </c>
      <c r="L551" s="24"/>
      <c r="M551" s="8"/>
      <c r="N551" s="269"/>
    </row>
    <row r="552" spans="1:14" s="3" customFormat="1" ht="12" customHeight="1" x14ac:dyDescent="0.15">
      <c r="A552" s="95" t="s">
        <v>583</v>
      </c>
      <c r="B552" s="104"/>
      <c r="C552" s="104"/>
      <c r="D552" s="104"/>
      <c r="E552" s="104"/>
      <c r="F552" s="86"/>
      <c r="G552" s="86"/>
      <c r="H552" s="86"/>
      <c r="I552" s="86"/>
      <c r="J552" s="86"/>
      <c r="K552" s="86"/>
      <c r="L552" s="86"/>
      <c r="M552" s="8"/>
      <c r="N552" s="269"/>
    </row>
    <row r="553" spans="1:14" s="3" customFormat="1" ht="12" customHeight="1" x14ac:dyDescent="0.15">
      <c r="B553" s="104"/>
      <c r="C553" s="114"/>
      <c r="D553" s="114"/>
      <c r="E553" s="114"/>
      <c r="F553" s="175" t="s">
        <v>693</v>
      </c>
      <c r="G553" s="175" t="s">
        <v>694</v>
      </c>
      <c r="H553" s="175" t="s">
        <v>695</v>
      </c>
      <c r="I553" s="175" t="s">
        <v>696</v>
      </c>
      <c r="J553" s="175" t="s">
        <v>697</v>
      </c>
      <c r="K553" s="175" t="s">
        <v>698</v>
      </c>
      <c r="L553" s="105"/>
      <c r="M553" s="8"/>
      <c r="N553" s="269"/>
    </row>
    <row r="554" spans="1:14" s="3" customFormat="1" ht="12" customHeight="1" x14ac:dyDescent="0.15">
      <c r="A554" s="95" t="s">
        <v>50</v>
      </c>
      <c r="B554" s="104"/>
      <c r="C554" s="114"/>
      <c r="D554" s="114"/>
      <c r="E554" s="114"/>
      <c r="F554" s="102" t="s">
        <v>54</v>
      </c>
      <c r="G554" s="102" t="s">
        <v>55</v>
      </c>
      <c r="H554" s="105" t="s">
        <v>56</v>
      </c>
      <c r="I554" s="105" t="s">
        <v>57</v>
      </c>
      <c r="J554" s="105" t="s">
        <v>58</v>
      </c>
      <c r="K554" s="105" t="s">
        <v>59</v>
      </c>
      <c r="L554" s="105" t="s">
        <v>5</v>
      </c>
      <c r="M554" s="8"/>
      <c r="N554" s="269"/>
    </row>
    <row r="555" spans="1:14" s="3" customFormat="1" ht="12" customHeight="1" x14ac:dyDescent="0.15">
      <c r="A555" s="95" t="s">
        <v>85</v>
      </c>
      <c r="B555" s="104"/>
      <c r="C555" s="114"/>
      <c r="D555" s="114"/>
      <c r="E555" s="114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69"/>
    </row>
    <row r="556" spans="1:14" s="3" customFormat="1" ht="12" customHeight="1" x14ac:dyDescent="0.15">
      <c r="A556" s="22" t="s">
        <v>637</v>
      </c>
      <c r="B556" s="104">
        <v>22</v>
      </c>
      <c r="C556" s="114">
        <v>1</v>
      </c>
      <c r="D556" s="2" t="s">
        <v>433</v>
      </c>
      <c r="E556" s="114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7">
        <f>SUM(F556:K556)</f>
        <v>0</v>
      </c>
      <c r="M556" s="8"/>
      <c r="N556" s="269"/>
    </row>
    <row r="557" spans="1:14" s="3" customFormat="1" ht="12" customHeight="1" x14ac:dyDescent="0.15">
      <c r="A557" s="22" t="s">
        <v>638</v>
      </c>
      <c r="B557" s="104">
        <v>22</v>
      </c>
      <c r="C557" s="114">
        <v>2</v>
      </c>
      <c r="D557" s="2" t="s">
        <v>433</v>
      </c>
      <c r="E557" s="114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7">
        <f>SUM(F557:K557)</f>
        <v>0</v>
      </c>
      <c r="M557" s="8"/>
      <c r="N557" s="269"/>
    </row>
    <row r="558" spans="1:14" s="3" customFormat="1" ht="12" customHeight="1" thickBot="1" x14ac:dyDescent="0.2">
      <c r="A558" s="22" t="s">
        <v>639</v>
      </c>
      <c r="B558" s="104">
        <v>22</v>
      </c>
      <c r="C558" s="114">
        <v>3</v>
      </c>
      <c r="D558" s="2" t="s">
        <v>433</v>
      </c>
      <c r="E558" s="114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7">
        <f>SUM(F558:K558)</f>
        <v>0</v>
      </c>
      <c r="M558" s="8"/>
      <c r="N558" s="269"/>
    </row>
    <row r="559" spans="1:14" s="3" customFormat="1" ht="12" customHeight="1" thickTop="1" x14ac:dyDescent="0.15">
      <c r="A559" s="138" t="s">
        <v>63</v>
      </c>
      <c r="B559" s="106">
        <v>22</v>
      </c>
      <c r="C559" s="193">
        <v>4</v>
      </c>
      <c r="D559" s="194" t="s">
        <v>433</v>
      </c>
      <c r="E559" s="193"/>
      <c r="F559" s="107">
        <f t="shared" ref="F559:L559" si="44">SUM(F556:F558)</f>
        <v>0</v>
      </c>
      <c r="G559" s="107">
        <f t="shared" si="44"/>
        <v>0</v>
      </c>
      <c r="H559" s="107">
        <f t="shared" si="44"/>
        <v>0</v>
      </c>
      <c r="I559" s="107">
        <f t="shared" si="44"/>
        <v>0</v>
      </c>
      <c r="J559" s="107">
        <f t="shared" si="44"/>
        <v>0</v>
      </c>
      <c r="K559" s="107">
        <f t="shared" si="44"/>
        <v>0</v>
      </c>
      <c r="L559" s="88">
        <f t="shared" si="44"/>
        <v>0</v>
      </c>
      <c r="M559" s="8"/>
      <c r="N559" s="269"/>
    </row>
    <row r="560" spans="1:14" s="3" customFormat="1" ht="12" customHeight="1" x14ac:dyDescent="0.15">
      <c r="A560" s="95" t="s">
        <v>86</v>
      </c>
      <c r="B560" s="104"/>
      <c r="C560" s="114"/>
      <c r="D560" s="114"/>
      <c r="E560" s="114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69"/>
    </row>
    <row r="561" spans="1:14" s="3" customFormat="1" ht="12" customHeight="1" x14ac:dyDescent="0.15">
      <c r="A561" s="22" t="s">
        <v>637</v>
      </c>
      <c r="B561" s="104">
        <v>22</v>
      </c>
      <c r="C561" s="114">
        <v>5</v>
      </c>
      <c r="D561" s="2" t="s">
        <v>433</v>
      </c>
      <c r="E561" s="114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7">
        <f>SUM(F561:K561)</f>
        <v>0</v>
      </c>
      <c r="M561" s="8"/>
      <c r="N561" s="269"/>
    </row>
    <row r="562" spans="1:14" s="3" customFormat="1" ht="12" customHeight="1" x14ac:dyDescent="0.15">
      <c r="A562" s="22" t="s">
        <v>638</v>
      </c>
      <c r="B562" s="104">
        <v>22</v>
      </c>
      <c r="C562" s="114">
        <v>6</v>
      </c>
      <c r="D562" s="2" t="s">
        <v>433</v>
      </c>
      <c r="E562" s="114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7">
        <f>SUM(F562:K562)</f>
        <v>0</v>
      </c>
      <c r="M562" s="8"/>
      <c r="N562" s="269"/>
    </row>
    <row r="563" spans="1:14" s="3" customFormat="1" ht="12" customHeight="1" thickBot="1" x14ac:dyDescent="0.2">
      <c r="A563" s="22" t="s">
        <v>639</v>
      </c>
      <c r="B563" s="104">
        <v>22</v>
      </c>
      <c r="C563" s="117">
        <v>7</v>
      </c>
      <c r="D563" s="2" t="s">
        <v>433</v>
      </c>
      <c r="E563" s="117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7">
        <f>SUM(F563:K563)</f>
        <v>0</v>
      </c>
      <c r="M563" s="8"/>
      <c r="N563" s="269"/>
    </row>
    <row r="564" spans="1:14" s="3" customFormat="1" ht="12" customHeight="1" thickTop="1" x14ac:dyDescent="0.15">
      <c r="A564" s="138" t="s">
        <v>65</v>
      </c>
      <c r="B564" s="106">
        <v>22</v>
      </c>
      <c r="C564" s="106">
        <v>8</v>
      </c>
      <c r="D564" s="194" t="s">
        <v>433</v>
      </c>
      <c r="E564" s="106"/>
      <c r="F564" s="88">
        <f t="shared" ref="F564:L564" si="45">SUM(F561:F563)</f>
        <v>0</v>
      </c>
      <c r="G564" s="88">
        <f t="shared" si="45"/>
        <v>0</v>
      </c>
      <c r="H564" s="88">
        <f t="shared" si="45"/>
        <v>0</v>
      </c>
      <c r="I564" s="88">
        <f t="shared" si="45"/>
        <v>0</v>
      </c>
      <c r="J564" s="88">
        <f t="shared" si="45"/>
        <v>0</v>
      </c>
      <c r="K564" s="88">
        <f t="shared" si="45"/>
        <v>0</v>
      </c>
      <c r="L564" s="88">
        <f t="shared" si="45"/>
        <v>0</v>
      </c>
      <c r="M564" s="8"/>
      <c r="N564" s="269"/>
    </row>
    <row r="565" spans="1:14" s="3" customFormat="1" ht="12" customHeight="1" x14ac:dyDescent="0.15">
      <c r="A565" s="96" t="s">
        <v>87</v>
      </c>
      <c r="B565" s="104"/>
      <c r="C565" s="104"/>
      <c r="D565" s="104"/>
      <c r="E565" s="104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69"/>
    </row>
    <row r="566" spans="1:14" s="3" customFormat="1" ht="12" customHeight="1" x14ac:dyDescent="0.15">
      <c r="A566" s="22" t="s">
        <v>637</v>
      </c>
      <c r="B566" s="104">
        <v>22</v>
      </c>
      <c r="C566" s="104">
        <v>9</v>
      </c>
      <c r="D566" s="2" t="s">
        <v>433</v>
      </c>
      <c r="E566" s="104"/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18">
        <v>0</v>
      </c>
      <c r="L566" s="87">
        <f>SUM(F566:K566)</f>
        <v>0</v>
      </c>
      <c r="M566" s="8"/>
      <c r="N566" s="269"/>
    </row>
    <row r="567" spans="1:14" s="3" customFormat="1" ht="12" customHeight="1" x14ac:dyDescent="0.15">
      <c r="A567" s="22" t="s">
        <v>638</v>
      </c>
      <c r="B567" s="104">
        <v>22</v>
      </c>
      <c r="C567" s="104">
        <v>10</v>
      </c>
      <c r="D567" s="2" t="s">
        <v>433</v>
      </c>
      <c r="E567" s="104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7">
        <f>SUM(F567:K567)</f>
        <v>0</v>
      </c>
      <c r="M567" s="8"/>
      <c r="N567" s="269"/>
    </row>
    <row r="568" spans="1:14" s="3" customFormat="1" ht="12" customHeight="1" thickBot="1" x14ac:dyDescent="0.2">
      <c r="A568" s="22" t="s">
        <v>639</v>
      </c>
      <c r="B568" s="104">
        <v>22</v>
      </c>
      <c r="C568" s="104">
        <v>11</v>
      </c>
      <c r="D568" s="2" t="s">
        <v>433</v>
      </c>
      <c r="E568" s="104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7">
        <f>SUM(F568:K568)</f>
        <v>0</v>
      </c>
      <c r="M568" s="8"/>
      <c r="N568" s="269"/>
    </row>
    <row r="569" spans="1:14" s="3" customFormat="1" ht="12" customHeight="1" thickTop="1" thickBot="1" x14ac:dyDescent="0.2">
      <c r="A569" s="129" t="s">
        <v>67</v>
      </c>
      <c r="B569" s="189">
        <v>22</v>
      </c>
      <c r="C569" s="189">
        <v>12</v>
      </c>
      <c r="D569" s="195" t="s">
        <v>433</v>
      </c>
      <c r="E569" s="189"/>
      <c r="F569" s="191">
        <f>SUM(F566:F568)</f>
        <v>0</v>
      </c>
      <c r="G569" s="191">
        <f t="shared" ref="G569:L569" si="46">SUM(G566:G568)</f>
        <v>0</v>
      </c>
      <c r="H569" s="191">
        <f t="shared" si="46"/>
        <v>0</v>
      </c>
      <c r="I569" s="191">
        <f t="shared" si="46"/>
        <v>0</v>
      </c>
      <c r="J569" s="191">
        <f t="shared" si="46"/>
        <v>0</v>
      </c>
      <c r="K569" s="191">
        <f t="shared" si="46"/>
        <v>0</v>
      </c>
      <c r="L569" s="191">
        <f t="shared" si="46"/>
        <v>0</v>
      </c>
      <c r="M569" s="8"/>
      <c r="N569" s="269"/>
    </row>
    <row r="570" spans="1:14" s="3" customFormat="1" ht="12" customHeight="1" thickTop="1" x14ac:dyDescent="0.15">
      <c r="A570" s="97" t="s">
        <v>88</v>
      </c>
      <c r="B570" s="106">
        <v>22</v>
      </c>
      <c r="C570" s="106">
        <v>13</v>
      </c>
      <c r="D570" s="156" t="s">
        <v>433</v>
      </c>
      <c r="E570" s="106"/>
      <c r="F570" s="88">
        <f>F559+F564+F569</f>
        <v>0</v>
      </c>
      <c r="G570" s="88">
        <f t="shared" ref="G570:L570" si="47">G559+G564+G569</f>
        <v>0</v>
      </c>
      <c r="H570" s="88">
        <f t="shared" si="47"/>
        <v>0</v>
      </c>
      <c r="I570" s="88">
        <f t="shared" si="47"/>
        <v>0</v>
      </c>
      <c r="J570" s="88">
        <f t="shared" si="47"/>
        <v>0</v>
      </c>
      <c r="K570" s="88">
        <f t="shared" si="47"/>
        <v>0</v>
      </c>
      <c r="L570" s="88">
        <f t="shared" si="47"/>
        <v>0</v>
      </c>
      <c r="M570" s="8"/>
      <c r="N570" s="269"/>
    </row>
    <row r="571" spans="1:14" s="3" customFormat="1" ht="12" customHeight="1" x14ac:dyDescent="0.15">
      <c r="A571" s="96"/>
      <c r="B571" s="74"/>
      <c r="C571" s="74"/>
      <c r="D571" s="74"/>
      <c r="E571" s="74"/>
      <c r="F571" s="86"/>
      <c r="G571" s="86"/>
      <c r="H571" s="86"/>
      <c r="I571" s="86"/>
      <c r="J571" s="86"/>
      <c r="K571" s="86"/>
      <c r="L571" s="86"/>
      <c r="M571" s="8"/>
      <c r="N571" s="269"/>
    </row>
    <row r="572" spans="1:14" s="3" customFormat="1" ht="12" customHeight="1" x14ac:dyDescent="0.15">
      <c r="A572" s="96" t="s">
        <v>775</v>
      </c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69"/>
    </row>
    <row r="573" spans="1:14" s="3" customFormat="1" ht="12" customHeight="1" x14ac:dyDescent="0.15">
      <c r="A573" s="96" t="s">
        <v>89</v>
      </c>
      <c r="B573" s="74"/>
      <c r="C573" s="74"/>
      <c r="D573" s="74"/>
      <c r="E573" s="74" t="s">
        <v>95</v>
      </c>
      <c r="F573" s="100" t="s">
        <v>90</v>
      </c>
      <c r="G573" s="100" t="s">
        <v>91</v>
      </c>
      <c r="H573" s="100" t="s">
        <v>92</v>
      </c>
      <c r="I573" s="100" t="s">
        <v>93</v>
      </c>
      <c r="J573" s="24" t="s">
        <v>289</v>
      </c>
      <c r="K573" s="24" t="s">
        <v>289</v>
      </c>
      <c r="L573" s="24" t="s">
        <v>289</v>
      </c>
      <c r="M573" s="8"/>
      <c r="N573" s="269"/>
    </row>
    <row r="574" spans="1:14" s="3" customFormat="1" ht="12" customHeight="1" x14ac:dyDescent="0.15">
      <c r="A574" s="98" t="s">
        <v>673</v>
      </c>
      <c r="B574" s="74">
        <v>22</v>
      </c>
      <c r="C574" s="74">
        <v>14</v>
      </c>
      <c r="D574" s="2" t="s">
        <v>433</v>
      </c>
      <c r="E574" s="74">
        <v>561</v>
      </c>
      <c r="F574" s="18">
        <v>0</v>
      </c>
      <c r="G574" s="18">
        <v>506490.25</v>
      </c>
      <c r="H574" s="18">
        <v>1077824.44</v>
      </c>
      <c r="I574" s="86">
        <f>SUM(F574:H574)</f>
        <v>1584314.69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8" t="s">
        <v>674</v>
      </c>
      <c r="B575" s="74">
        <v>22</v>
      </c>
      <c r="C575" s="74">
        <v>15</v>
      </c>
      <c r="D575" s="2" t="s">
        <v>433</v>
      </c>
      <c r="E575" s="74">
        <v>562</v>
      </c>
      <c r="F575" s="18">
        <v>0</v>
      </c>
      <c r="G575" s="18">
        <v>0</v>
      </c>
      <c r="H575" s="18">
        <v>0</v>
      </c>
      <c r="I575" s="86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8" t="s">
        <v>744</v>
      </c>
      <c r="B576" s="74">
        <v>22</v>
      </c>
      <c r="C576" s="74">
        <v>16</v>
      </c>
      <c r="D576" s="2" t="s">
        <v>433</v>
      </c>
      <c r="E576" s="74">
        <v>563</v>
      </c>
      <c r="F576" s="24" t="s">
        <v>289</v>
      </c>
      <c r="G576" s="24" t="s">
        <v>289</v>
      </c>
      <c r="H576" s="18">
        <v>0</v>
      </c>
      <c r="I576" s="86">
        <f t="shared" si="48"/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8" t="s">
        <v>678</v>
      </c>
      <c r="B577" s="74">
        <v>22</v>
      </c>
      <c r="C577" s="74">
        <v>17</v>
      </c>
      <c r="D577" s="2" t="s">
        <v>433</v>
      </c>
      <c r="E577" s="74">
        <v>564</v>
      </c>
      <c r="F577" s="18">
        <v>0</v>
      </c>
      <c r="G577" s="18">
        <v>0</v>
      </c>
      <c r="H577" s="18">
        <v>0</v>
      </c>
      <c r="I577" s="86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8" t="s">
        <v>675</v>
      </c>
      <c r="B578" s="74">
        <v>22</v>
      </c>
      <c r="C578" s="74">
        <v>18</v>
      </c>
      <c r="D578" s="2" t="s">
        <v>433</v>
      </c>
      <c r="E578" s="74">
        <v>561</v>
      </c>
      <c r="F578" s="18">
        <v>0</v>
      </c>
      <c r="G578" s="18">
        <v>0</v>
      </c>
      <c r="H578" s="18">
        <v>25391.84</v>
      </c>
      <c r="I578" s="86">
        <f t="shared" si="48"/>
        <v>25391.84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8" t="s">
        <v>676</v>
      </c>
      <c r="B579" s="74">
        <v>22</v>
      </c>
      <c r="C579" s="74">
        <v>19</v>
      </c>
      <c r="D579" s="2" t="s">
        <v>433</v>
      </c>
      <c r="E579" s="74">
        <v>562</v>
      </c>
      <c r="F579" s="18">
        <v>0</v>
      </c>
      <c r="G579" s="18">
        <v>0</v>
      </c>
      <c r="H579" s="18">
        <v>0</v>
      </c>
      <c r="I579" s="86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144" t="s">
        <v>745</v>
      </c>
      <c r="B580" s="74">
        <v>22</v>
      </c>
      <c r="C580" s="74">
        <v>20</v>
      </c>
      <c r="D580" s="2" t="s">
        <v>433</v>
      </c>
      <c r="E580" s="74">
        <v>563</v>
      </c>
      <c r="F580" s="24" t="s">
        <v>289</v>
      </c>
      <c r="G580" s="24" t="s">
        <v>289</v>
      </c>
      <c r="H580" s="18">
        <v>0</v>
      </c>
      <c r="I580" s="86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4" t="s">
        <v>677</v>
      </c>
      <c r="B581" s="74">
        <v>22</v>
      </c>
      <c r="C581" s="74">
        <v>21</v>
      </c>
      <c r="D581" s="2" t="s">
        <v>433</v>
      </c>
      <c r="E581" s="74">
        <v>564</v>
      </c>
      <c r="F581" s="18">
        <f>373.3+307.16</f>
        <v>680.46</v>
      </c>
      <c r="G581" s="18">
        <v>0</v>
      </c>
      <c r="H581" s="18">
        <v>121975.93</v>
      </c>
      <c r="I581" s="86">
        <f t="shared" si="48"/>
        <v>122656.39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4" t="s">
        <v>640</v>
      </c>
      <c r="B582" s="74">
        <v>22</v>
      </c>
      <c r="C582" s="74">
        <v>22</v>
      </c>
      <c r="D582" s="2" t="s">
        <v>433</v>
      </c>
      <c r="E582" s="74">
        <v>569</v>
      </c>
      <c r="F582" s="18">
        <v>0</v>
      </c>
      <c r="G582" s="18">
        <v>0</v>
      </c>
      <c r="H582" s="18">
        <v>0</v>
      </c>
      <c r="I582" s="86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22" t="s">
        <v>679</v>
      </c>
      <c r="B583" s="74">
        <v>22</v>
      </c>
      <c r="C583" s="74">
        <v>23</v>
      </c>
      <c r="D583" s="2" t="s">
        <v>433</v>
      </c>
      <c r="E583" s="74">
        <v>561</v>
      </c>
      <c r="F583" s="18">
        <v>0</v>
      </c>
      <c r="G583" s="18">
        <v>0</v>
      </c>
      <c r="H583" s="18">
        <v>0</v>
      </c>
      <c r="I583" s="86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680</v>
      </c>
      <c r="B584" s="74">
        <v>22</v>
      </c>
      <c r="C584" s="74">
        <v>24</v>
      </c>
      <c r="D584" s="2" t="s">
        <v>433</v>
      </c>
      <c r="E584" s="74">
        <v>562</v>
      </c>
      <c r="F584" s="18">
        <v>0</v>
      </c>
      <c r="G584" s="18">
        <v>0</v>
      </c>
      <c r="H584" s="18">
        <v>0</v>
      </c>
      <c r="I584" s="86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746</v>
      </c>
      <c r="B585" s="74">
        <v>22</v>
      </c>
      <c r="C585" s="74">
        <v>25</v>
      </c>
      <c r="D585" s="2" t="s">
        <v>433</v>
      </c>
      <c r="E585" s="74">
        <v>563</v>
      </c>
      <c r="F585" s="24" t="s">
        <v>289</v>
      </c>
      <c r="G585" s="24" t="s">
        <v>289</v>
      </c>
      <c r="H585" s="18">
        <v>0</v>
      </c>
      <c r="I585" s="86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681</v>
      </c>
      <c r="B586" s="74">
        <v>22</v>
      </c>
      <c r="C586" s="74">
        <v>26</v>
      </c>
      <c r="D586" s="2" t="s">
        <v>433</v>
      </c>
      <c r="E586" s="74">
        <v>564</v>
      </c>
      <c r="F586" s="18"/>
      <c r="G586" s="18"/>
      <c r="H586" s="18">
        <v>0</v>
      </c>
      <c r="I586" s="86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171" t="s">
        <v>747</v>
      </c>
      <c r="B587" s="104"/>
      <c r="C587" s="104"/>
      <c r="D587" s="104"/>
      <c r="E587" s="104"/>
      <c r="F587" s="102"/>
      <c r="G587" s="102"/>
      <c r="H587" s="102"/>
      <c r="I587" s="102"/>
      <c r="J587" s="102"/>
      <c r="K587" s="102"/>
      <c r="L587" s="102"/>
      <c r="M587" s="8"/>
      <c r="N587" s="269"/>
    </row>
    <row r="588" spans="1:14" s="3" customFormat="1" ht="12" customHeight="1" x14ac:dyDescent="0.15">
      <c r="A588" s="145" t="s">
        <v>658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69"/>
    </row>
    <row r="589" spans="1:14" s="3" customFormat="1" ht="12" customHeight="1" x14ac:dyDescent="0.15">
      <c r="A589" s="95" t="s">
        <v>89</v>
      </c>
      <c r="B589" s="104"/>
      <c r="C589" s="104"/>
      <c r="D589" s="104"/>
      <c r="E589" s="104"/>
      <c r="F589" s="102" t="s">
        <v>94</v>
      </c>
      <c r="G589" s="102" t="s">
        <v>95</v>
      </c>
      <c r="H589" s="102" t="s">
        <v>61</v>
      </c>
      <c r="I589" s="102" t="s">
        <v>96</v>
      </c>
      <c r="J589" s="102" t="s">
        <v>62</v>
      </c>
      <c r="K589" s="102" t="s">
        <v>5</v>
      </c>
      <c r="L589" s="102"/>
      <c r="M589" s="8"/>
      <c r="N589" s="269"/>
    </row>
    <row r="590" spans="1:14" s="3" customFormat="1" ht="12" customHeight="1" x14ac:dyDescent="0.15">
      <c r="A590" s="3" t="s">
        <v>641</v>
      </c>
      <c r="B590" s="74">
        <v>23</v>
      </c>
      <c r="C590" s="74">
        <v>1</v>
      </c>
      <c r="D590" s="2" t="s">
        <v>433</v>
      </c>
      <c r="E590" s="74"/>
      <c r="F590" s="101">
        <v>2721</v>
      </c>
      <c r="G590" s="102" t="s">
        <v>97</v>
      </c>
      <c r="H590" s="18">
        <v>102706.16037735849</v>
      </c>
      <c r="I590" s="18">
        <v>23571.905660377357</v>
      </c>
      <c r="J590" s="18">
        <v>52194.933962264149</v>
      </c>
      <c r="K590" s="103">
        <f t="shared" ref="K590:K596" si="49">SUM(H590:J590)</f>
        <v>178473</v>
      </c>
      <c r="L590" s="24" t="s">
        <v>289</v>
      </c>
      <c r="M590" s="8"/>
      <c r="N590" s="269"/>
    </row>
    <row r="591" spans="1:14" s="3" customFormat="1" ht="12" customHeight="1" x14ac:dyDescent="0.15">
      <c r="A591" s="3" t="s">
        <v>642</v>
      </c>
      <c r="B591" s="74">
        <v>23</v>
      </c>
      <c r="C591" s="74">
        <v>2</v>
      </c>
      <c r="D591" s="2" t="s">
        <v>433</v>
      </c>
      <c r="E591" s="74"/>
      <c r="F591" s="101">
        <v>2722</v>
      </c>
      <c r="G591" s="102" t="s">
        <v>97</v>
      </c>
      <c r="H591" s="18">
        <v>16074.138773584906</v>
      </c>
      <c r="I591" s="18">
        <v>3689.146603773585</v>
      </c>
      <c r="J591" s="18">
        <v>8168.8246226415094</v>
      </c>
      <c r="K591" s="103">
        <f t="shared" si="49"/>
        <v>27932.11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643</v>
      </c>
      <c r="B592" s="74">
        <v>23</v>
      </c>
      <c r="C592" s="74">
        <v>3</v>
      </c>
      <c r="D592" s="2" t="s">
        <v>433</v>
      </c>
      <c r="E592" s="74"/>
      <c r="F592" s="101">
        <v>2723</v>
      </c>
      <c r="G592" s="102" t="s">
        <v>97</v>
      </c>
      <c r="H592" s="18">
        <v>0</v>
      </c>
      <c r="I592" s="18">
        <v>0</v>
      </c>
      <c r="J592" s="18">
        <v>0</v>
      </c>
      <c r="K592" s="103">
        <f t="shared" si="49"/>
        <v>0</v>
      </c>
      <c r="L592" s="24" t="s">
        <v>289</v>
      </c>
      <c r="M592" s="8"/>
      <c r="N592" s="269"/>
    </row>
    <row r="593" spans="1:14" s="3" customFormat="1" ht="12" customHeight="1" x14ac:dyDescent="0.15">
      <c r="A593" s="22" t="s">
        <v>644</v>
      </c>
      <c r="B593" s="74">
        <v>23</v>
      </c>
      <c r="C593" s="74">
        <v>4</v>
      </c>
      <c r="D593" s="2" t="s">
        <v>433</v>
      </c>
      <c r="E593" s="74"/>
      <c r="F593" s="101">
        <v>2724</v>
      </c>
      <c r="G593" s="102" t="s">
        <v>97</v>
      </c>
      <c r="H593" s="18">
        <v>0</v>
      </c>
      <c r="I593" s="18">
        <v>0</v>
      </c>
      <c r="J593" s="18">
        <v>0</v>
      </c>
      <c r="K593" s="103">
        <f t="shared" si="49"/>
        <v>0</v>
      </c>
      <c r="L593" s="24" t="s">
        <v>289</v>
      </c>
      <c r="M593" s="8"/>
      <c r="N593" s="269"/>
    </row>
    <row r="594" spans="1:14" s="3" customFormat="1" ht="12" customHeight="1" x14ac:dyDescent="0.15">
      <c r="A594" s="169" t="s">
        <v>656</v>
      </c>
      <c r="B594" s="74">
        <v>23</v>
      </c>
      <c r="C594" s="74">
        <v>5</v>
      </c>
      <c r="D594" s="2" t="s">
        <v>433</v>
      </c>
      <c r="E594" s="74"/>
      <c r="F594" s="101">
        <v>2725</v>
      </c>
      <c r="G594" s="102" t="s">
        <v>97</v>
      </c>
      <c r="H594" s="18">
        <v>0</v>
      </c>
      <c r="I594" s="18">
        <v>0</v>
      </c>
      <c r="J594" s="18">
        <v>0</v>
      </c>
      <c r="K594" s="103">
        <f t="shared" si="49"/>
        <v>0</v>
      </c>
      <c r="L594" s="24" t="s">
        <v>289</v>
      </c>
      <c r="M594" s="8"/>
      <c r="N594" s="269"/>
    </row>
    <row r="595" spans="1:14" s="3" customFormat="1" ht="12" customHeight="1" x14ac:dyDescent="0.15">
      <c r="A595" s="22" t="s">
        <v>645</v>
      </c>
      <c r="B595" s="74">
        <v>23</v>
      </c>
      <c r="C595" s="74">
        <v>6</v>
      </c>
      <c r="D595" s="2" t="s">
        <v>433</v>
      </c>
      <c r="E595" s="74"/>
      <c r="F595" s="101">
        <v>2726</v>
      </c>
      <c r="G595" s="102" t="s">
        <v>97</v>
      </c>
      <c r="H595" s="18">
        <v>0</v>
      </c>
      <c r="I595" s="18">
        <v>0</v>
      </c>
      <c r="J595" s="18">
        <v>0</v>
      </c>
      <c r="K595" s="103">
        <f t="shared" si="49"/>
        <v>0</v>
      </c>
      <c r="L595" s="24" t="s">
        <v>289</v>
      </c>
      <c r="M595" s="8"/>
      <c r="N595" s="269"/>
    </row>
    <row r="596" spans="1:14" s="3" customFormat="1" ht="12" customHeight="1" thickBot="1" x14ac:dyDescent="0.2">
      <c r="A596" s="3" t="s">
        <v>659</v>
      </c>
      <c r="B596" s="74">
        <v>23</v>
      </c>
      <c r="C596" s="74">
        <v>7</v>
      </c>
      <c r="D596" s="2" t="s">
        <v>433</v>
      </c>
      <c r="E596" s="74"/>
      <c r="F596" s="101">
        <v>2729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9"/>
        <v>0</v>
      </c>
      <c r="L596" s="24" t="s">
        <v>289</v>
      </c>
      <c r="M596" s="8"/>
      <c r="N596" s="269"/>
    </row>
    <row r="597" spans="1:14" s="3" customFormat="1" ht="12" customHeight="1" thickTop="1" x14ac:dyDescent="0.15">
      <c r="A597" s="97" t="s">
        <v>341</v>
      </c>
      <c r="B597" s="44">
        <v>23</v>
      </c>
      <c r="C597" s="44">
        <v>8</v>
      </c>
      <c r="D597" s="39" t="s">
        <v>433</v>
      </c>
      <c r="E597" s="44"/>
      <c r="F597" s="146">
        <v>2700</v>
      </c>
      <c r="G597" s="147" t="s">
        <v>97</v>
      </c>
      <c r="H597" s="107">
        <f>SUM(H590:H596)</f>
        <v>118780.29915094341</v>
      </c>
      <c r="I597" s="107">
        <f>SUM(I590:I596)</f>
        <v>27261.052264150941</v>
      </c>
      <c r="J597" s="107">
        <f>SUM(J590:J596)</f>
        <v>60363.758584905656</v>
      </c>
      <c r="K597" s="107">
        <f>SUM(K590:K596)</f>
        <v>206405.11</v>
      </c>
      <c r="L597" s="24" t="s">
        <v>289</v>
      </c>
      <c r="M597" s="8"/>
      <c r="N597" s="269"/>
    </row>
    <row r="598" spans="1:14" s="3" customFormat="1" ht="12" customHeight="1" x14ac:dyDescent="0.15">
      <c r="A598" s="22"/>
      <c r="B598" s="104"/>
      <c r="C598" s="104"/>
      <c r="D598" s="104"/>
      <c r="E598" s="104"/>
      <c r="F598" s="102"/>
      <c r="G598" s="102"/>
      <c r="H598" s="102"/>
      <c r="I598" s="102"/>
      <c r="J598" s="102"/>
      <c r="K598" s="102"/>
      <c r="L598" s="102"/>
      <c r="M598" s="8"/>
      <c r="N598" s="269"/>
    </row>
    <row r="599" spans="1:14" s="3" customFormat="1" ht="12" customHeight="1" x14ac:dyDescent="0.15">
      <c r="A599" s="95" t="s">
        <v>98</v>
      </c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69"/>
    </row>
    <row r="600" spans="1:14" s="3" customFormat="1" ht="12" customHeight="1" x14ac:dyDescent="0.15">
      <c r="A600" s="95" t="s">
        <v>89</v>
      </c>
      <c r="B600" s="104"/>
      <c r="C600" s="104"/>
      <c r="D600" s="104"/>
      <c r="E600" s="104"/>
      <c r="F600" s="102" t="s">
        <v>94</v>
      </c>
      <c r="G600" s="102" t="s">
        <v>95</v>
      </c>
      <c r="H600" s="102" t="s">
        <v>61</v>
      </c>
      <c r="I600" s="102" t="s">
        <v>96</v>
      </c>
      <c r="J600" s="102" t="s">
        <v>62</v>
      </c>
      <c r="K600" s="102" t="s">
        <v>5</v>
      </c>
      <c r="L600" s="102"/>
      <c r="M600" s="8"/>
      <c r="N600" s="269"/>
    </row>
    <row r="601" spans="1:14" s="3" customFormat="1" ht="12" customHeight="1" x14ac:dyDescent="0.15">
      <c r="A601" s="22" t="s">
        <v>646</v>
      </c>
      <c r="B601" s="104">
        <v>23</v>
      </c>
      <c r="C601" s="104">
        <v>9</v>
      </c>
      <c r="D601" s="2" t="s">
        <v>433</v>
      </c>
      <c r="E601" s="104"/>
      <c r="F601" s="102" t="s">
        <v>477</v>
      </c>
      <c r="G601" s="101">
        <v>710</v>
      </c>
      <c r="H601" s="18">
        <v>0</v>
      </c>
      <c r="I601" s="18">
        <v>0</v>
      </c>
      <c r="J601" s="18">
        <v>0</v>
      </c>
      <c r="K601" s="103">
        <f>SUM(H601:J601)</f>
        <v>0</v>
      </c>
      <c r="L601" s="24" t="s">
        <v>289</v>
      </c>
      <c r="M601" s="8"/>
      <c r="N601" s="269"/>
    </row>
    <row r="602" spans="1:14" s="3" customFormat="1" ht="12" customHeight="1" x14ac:dyDescent="0.15">
      <c r="A602" s="22" t="s">
        <v>647</v>
      </c>
      <c r="B602" s="104">
        <v>23</v>
      </c>
      <c r="C602" s="104">
        <v>10</v>
      </c>
      <c r="D602" s="2" t="s">
        <v>433</v>
      </c>
      <c r="E602" s="104"/>
      <c r="F602" s="102" t="s">
        <v>477</v>
      </c>
      <c r="G602" s="101">
        <v>720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289</v>
      </c>
      <c r="M602" s="8"/>
      <c r="N602" s="269"/>
    </row>
    <row r="603" spans="1:14" s="3" customFormat="1" ht="12" customHeight="1" thickBot="1" x14ac:dyDescent="0.2">
      <c r="A603" s="22" t="s">
        <v>648</v>
      </c>
      <c r="B603" s="104">
        <v>23</v>
      </c>
      <c r="C603" s="104">
        <v>11</v>
      </c>
      <c r="D603" s="2" t="s">
        <v>433</v>
      </c>
      <c r="E603" s="104"/>
      <c r="F603" s="102" t="s">
        <v>477</v>
      </c>
      <c r="G603" s="101">
        <v>730</v>
      </c>
      <c r="H603" s="18">
        <f>J210+J351</f>
        <v>58171.41</v>
      </c>
      <c r="I603" s="18">
        <v>0</v>
      </c>
      <c r="J603" s="18">
        <v>0</v>
      </c>
      <c r="K603" s="103">
        <f>SUM(H603:J603)</f>
        <v>58171.41</v>
      </c>
      <c r="L603" s="24" t="s">
        <v>289</v>
      </c>
      <c r="M603" s="8"/>
      <c r="N603" s="269"/>
    </row>
    <row r="604" spans="1:14" s="3" customFormat="1" ht="12" customHeight="1" thickTop="1" x14ac:dyDescent="0.15">
      <c r="A604" s="97" t="s">
        <v>341</v>
      </c>
      <c r="B604" s="44">
        <v>23</v>
      </c>
      <c r="C604" s="44">
        <v>12</v>
      </c>
      <c r="D604" s="39" t="s">
        <v>433</v>
      </c>
      <c r="E604" s="44"/>
      <c r="F604" s="147" t="s">
        <v>477</v>
      </c>
      <c r="G604" s="146">
        <v>700</v>
      </c>
      <c r="H604" s="107">
        <f>SUM(H601:H603)</f>
        <v>58171.41</v>
      </c>
      <c r="I604" s="107">
        <f>SUM(I601:I603)</f>
        <v>0</v>
      </c>
      <c r="J604" s="107">
        <f>SUM(J601:J603)</f>
        <v>0</v>
      </c>
      <c r="K604" s="107">
        <f>SUM(K601:K603)</f>
        <v>58171.41</v>
      </c>
      <c r="L604" s="24" t="s">
        <v>289</v>
      </c>
      <c r="M604" s="8"/>
      <c r="N604" s="269"/>
    </row>
    <row r="605" spans="1:14" s="3" customFormat="1" ht="12" customHeight="1" x14ac:dyDescent="0.15">
      <c r="A605" s="22"/>
      <c r="B605" s="104"/>
      <c r="C605" s="104"/>
      <c r="D605" s="104"/>
      <c r="E605" s="104"/>
      <c r="F605" s="102"/>
      <c r="G605" s="102"/>
      <c r="H605" s="102"/>
      <c r="I605" s="102"/>
      <c r="J605" s="102"/>
      <c r="K605" s="102"/>
      <c r="L605" s="87"/>
      <c r="M605" s="8"/>
      <c r="N605" s="269"/>
    </row>
    <row r="606" spans="1:14" s="3" customFormat="1" ht="12" customHeight="1" x14ac:dyDescent="0.15">
      <c r="A606" s="95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69"/>
    </row>
    <row r="607" spans="1:14" s="3" customFormat="1" ht="12" customHeight="1" x14ac:dyDescent="0.15">
      <c r="A607" s="95" t="s">
        <v>584</v>
      </c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69"/>
    </row>
    <row r="608" spans="1:14" s="3" customFormat="1" ht="12" customHeight="1" x14ac:dyDescent="0.15">
      <c r="B608" s="104"/>
      <c r="C608" s="104"/>
      <c r="D608" s="104"/>
      <c r="E608" s="104"/>
      <c r="F608" s="175" t="s">
        <v>693</v>
      </c>
      <c r="G608" s="175" t="s">
        <v>694</v>
      </c>
      <c r="H608" s="175" t="s">
        <v>695</v>
      </c>
      <c r="I608" s="175" t="s">
        <v>696</v>
      </c>
      <c r="J608" s="175" t="s">
        <v>697</v>
      </c>
      <c r="K608" s="175" t="s">
        <v>698</v>
      </c>
      <c r="L608" s="87"/>
      <c r="M608" s="8"/>
      <c r="N608" s="269"/>
    </row>
    <row r="609" spans="1:14" s="3" customFormat="1" ht="12" customHeight="1" x14ac:dyDescent="0.15">
      <c r="A609" s="95" t="s">
        <v>89</v>
      </c>
      <c r="B609" s="104"/>
      <c r="C609" s="104"/>
      <c r="D609" s="104"/>
      <c r="E609" s="104"/>
      <c r="F609" s="102" t="s">
        <v>54</v>
      </c>
      <c r="G609" s="102" t="s">
        <v>55</v>
      </c>
      <c r="H609" s="102" t="s">
        <v>56</v>
      </c>
      <c r="I609" s="102" t="s">
        <v>57</v>
      </c>
      <c r="J609" s="102" t="s">
        <v>58</v>
      </c>
      <c r="K609" s="102" t="s">
        <v>59</v>
      </c>
      <c r="L609" s="105" t="s">
        <v>5</v>
      </c>
      <c r="M609" s="8"/>
      <c r="N609" s="269"/>
    </row>
    <row r="610" spans="1:14" s="3" customFormat="1" ht="12" customHeight="1" x14ac:dyDescent="0.15">
      <c r="A610" s="22" t="s">
        <v>637</v>
      </c>
      <c r="B610" s="74">
        <v>23</v>
      </c>
      <c r="C610" s="74">
        <v>13</v>
      </c>
      <c r="D610" s="2" t="s">
        <v>433</v>
      </c>
      <c r="E610" s="74"/>
      <c r="F610" s="18">
        <v>0</v>
      </c>
      <c r="G610" s="18">
        <v>0</v>
      </c>
      <c r="H610" s="18">
        <v>0</v>
      </c>
      <c r="I610" s="18">
        <v>0</v>
      </c>
      <c r="J610" s="18">
        <v>0</v>
      </c>
      <c r="K610" s="18">
        <v>0</v>
      </c>
      <c r="L610" s="87">
        <f>SUM(F610:K610)</f>
        <v>0</v>
      </c>
      <c r="M610" s="8"/>
      <c r="N610" s="269"/>
    </row>
    <row r="611" spans="1:14" s="3" customFormat="1" ht="12" customHeight="1" x14ac:dyDescent="0.15">
      <c r="A611" s="22" t="s">
        <v>638</v>
      </c>
      <c r="B611" s="74">
        <v>23</v>
      </c>
      <c r="C611" s="74">
        <v>14</v>
      </c>
      <c r="D611" s="2" t="s">
        <v>433</v>
      </c>
      <c r="E611" s="74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7">
        <f>SUM(F611:K611)</f>
        <v>0</v>
      </c>
      <c r="M611" s="8"/>
      <c r="N611" s="269"/>
    </row>
    <row r="612" spans="1:14" s="3" customFormat="1" ht="12" customHeight="1" thickBot="1" x14ac:dyDescent="0.2">
      <c r="A612" s="22" t="s">
        <v>649</v>
      </c>
      <c r="B612" s="74">
        <v>23</v>
      </c>
      <c r="C612" s="74">
        <v>15</v>
      </c>
      <c r="D612" s="2" t="s">
        <v>433</v>
      </c>
      <c r="E612" s="74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7">
        <f>SUM(F612:K612)</f>
        <v>0</v>
      </c>
      <c r="M612" s="8"/>
      <c r="N612" s="269"/>
    </row>
    <row r="613" spans="1:14" s="3" customFormat="1" ht="12" customHeight="1" thickTop="1" x14ac:dyDescent="0.15">
      <c r="A613" s="97" t="s">
        <v>341</v>
      </c>
      <c r="B613" s="106">
        <v>23</v>
      </c>
      <c r="C613" s="106">
        <v>16</v>
      </c>
      <c r="D613" s="39" t="s">
        <v>433</v>
      </c>
      <c r="E613" s="106"/>
      <c r="F613" s="107">
        <f t="shared" ref="F613:L613" si="50">SUM(F610:F612)</f>
        <v>0</v>
      </c>
      <c r="G613" s="107">
        <f t="shared" si="50"/>
        <v>0</v>
      </c>
      <c r="H613" s="107">
        <f t="shared" si="50"/>
        <v>0</v>
      </c>
      <c r="I613" s="107">
        <f t="shared" si="50"/>
        <v>0</v>
      </c>
      <c r="J613" s="107">
        <f t="shared" si="50"/>
        <v>0</v>
      </c>
      <c r="K613" s="107">
        <f t="shared" si="50"/>
        <v>0</v>
      </c>
      <c r="L613" s="88">
        <f t="shared" si="50"/>
        <v>0</v>
      </c>
      <c r="M613" s="8"/>
      <c r="N613" s="269"/>
    </row>
    <row r="614" spans="1:14" s="3" customFormat="1" ht="12" customHeight="1" x14ac:dyDescent="0.15">
      <c r="A614" s="96"/>
      <c r="B614" s="104"/>
      <c r="C614" s="104"/>
      <c r="D614" s="104"/>
      <c r="E614" s="104"/>
      <c r="F614" s="108"/>
      <c r="G614" s="108"/>
      <c r="H614" s="108"/>
      <c r="I614" s="108"/>
      <c r="J614" s="108"/>
      <c r="K614" s="108"/>
      <c r="L614" s="108"/>
      <c r="M614" s="8"/>
    </row>
    <row r="615" spans="1:14" s="3" customFormat="1" ht="12" customHeight="1" x14ac:dyDescent="0.15">
      <c r="A615" s="96"/>
      <c r="B615" s="104"/>
      <c r="C615" s="104"/>
      <c r="D615" s="104"/>
      <c r="E615" s="104"/>
      <c r="F615" s="148" t="s">
        <v>53</v>
      </c>
      <c r="G615" s="149"/>
      <c r="H615" s="149"/>
      <c r="I615" s="148" t="s">
        <v>53</v>
      </c>
      <c r="J615" s="108"/>
      <c r="K615" s="108"/>
      <c r="L615" s="108"/>
      <c r="M615" s="8"/>
    </row>
    <row r="616" spans="1:14" s="3" customFormat="1" ht="12" customHeight="1" x14ac:dyDescent="0.15">
      <c r="A616" s="96" t="s">
        <v>99</v>
      </c>
      <c r="B616" s="104"/>
      <c r="C616" s="104"/>
      <c r="D616" s="104"/>
      <c r="E616" s="104"/>
      <c r="F616" s="120" t="s">
        <v>687</v>
      </c>
      <c r="G616" s="108">
        <f>SUM(F19)</f>
        <v>480705.7</v>
      </c>
      <c r="H616" s="108">
        <f>SUM(F51)</f>
        <v>480705.69999999995</v>
      </c>
      <c r="I616" s="120" t="s">
        <v>890</v>
      </c>
      <c r="J616" s="108">
        <f>G616-H616</f>
        <v>0</v>
      </c>
      <c r="K616" s="108"/>
      <c r="L616" s="108"/>
      <c r="M616" s="8"/>
    </row>
    <row r="617" spans="1:14" s="3" customFormat="1" ht="12" customHeight="1" x14ac:dyDescent="0.15">
      <c r="A617" s="96" t="s">
        <v>100</v>
      </c>
      <c r="B617" s="104"/>
      <c r="C617" s="104"/>
      <c r="D617" s="104"/>
      <c r="E617" s="104"/>
      <c r="F617" s="120" t="s">
        <v>688</v>
      </c>
      <c r="G617" s="108">
        <f>SUM(G19)</f>
        <v>60752.58</v>
      </c>
      <c r="H617" s="108">
        <f>SUM(G51)</f>
        <v>60752.58</v>
      </c>
      <c r="I617" s="120" t="s">
        <v>891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/>
      <c r="B618" s="104"/>
      <c r="C618" s="104"/>
      <c r="D618" s="104"/>
      <c r="E618" s="104"/>
      <c r="F618" s="120" t="s">
        <v>689</v>
      </c>
      <c r="G618" s="108">
        <f>SUM(H19)</f>
        <v>70149.709999999992</v>
      </c>
      <c r="H618" s="108">
        <f>SUM(H51)</f>
        <v>70149.709999999992</v>
      </c>
      <c r="I618" s="120" t="s">
        <v>892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690</v>
      </c>
      <c r="G619" s="108">
        <f>SUM(I19)</f>
        <v>0</v>
      </c>
      <c r="H619" s="108">
        <f>SUM(I51)</f>
        <v>0</v>
      </c>
      <c r="I619" s="120" t="s">
        <v>893</v>
      </c>
      <c r="J619" s="108">
        <f>G619-H619</f>
        <v>0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691</v>
      </c>
      <c r="G620" s="108">
        <f>SUM(J19)</f>
        <v>98572.479999999996</v>
      </c>
      <c r="H620" s="108">
        <f>SUM(J51)</f>
        <v>98572.479999999996</v>
      </c>
      <c r="I620" s="120" t="s">
        <v>894</v>
      </c>
      <c r="J620" s="108">
        <f>G620-H620</f>
        <v>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885</v>
      </c>
      <c r="G621" s="108">
        <f>F50</f>
        <v>288202.01</v>
      </c>
      <c r="H621" s="108">
        <f>F475</f>
        <v>288202.00999999978</v>
      </c>
      <c r="I621" s="120" t="s">
        <v>101</v>
      </c>
      <c r="J621" s="108">
        <f t="shared" ref="J621:J654" si="51">G621-H621</f>
        <v>0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18"/>
      <c r="D622" s="118"/>
      <c r="E622" s="118"/>
      <c r="F622" s="118" t="s">
        <v>886</v>
      </c>
      <c r="G622" s="108">
        <f>G50</f>
        <v>5652.2999999999993</v>
      </c>
      <c r="H622" s="108">
        <f>G475</f>
        <v>5652.2999999999956</v>
      </c>
      <c r="I622" s="120" t="s">
        <v>102</v>
      </c>
      <c r="J622" s="108">
        <f t="shared" si="51"/>
        <v>0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04"/>
      <c r="D623" s="104"/>
      <c r="E623" s="104"/>
      <c r="F623" s="119" t="s">
        <v>887</v>
      </c>
      <c r="G623" s="108">
        <f>H50</f>
        <v>0</v>
      </c>
      <c r="H623" s="108">
        <f>H475</f>
        <v>0</v>
      </c>
      <c r="I623" s="120" t="s">
        <v>103</v>
      </c>
      <c r="J623" s="108">
        <f t="shared" si="51"/>
        <v>0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888</v>
      </c>
      <c r="G624" s="108">
        <f>I50</f>
        <v>0</v>
      </c>
      <c r="H624" s="108">
        <f>I475</f>
        <v>0</v>
      </c>
      <c r="I624" s="120" t="s">
        <v>104</v>
      </c>
      <c r="J624" s="108">
        <f t="shared" si="51"/>
        <v>0</v>
      </c>
      <c r="K624" s="108"/>
      <c r="L624" s="108"/>
      <c r="M624" s="8"/>
    </row>
    <row r="625" spans="1:13" s="3" customFormat="1" ht="12" customHeight="1" x14ac:dyDescent="0.15">
      <c r="A625" s="22"/>
      <c r="B625" s="104"/>
      <c r="C625" s="104"/>
      <c r="D625" s="104"/>
      <c r="E625" s="104"/>
      <c r="F625" s="119" t="s">
        <v>889</v>
      </c>
      <c r="G625" s="108">
        <f>J50</f>
        <v>98572.479999999996</v>
      </c>
      <c r="H625" s="108">
        <f>J475</f>
        <v>98572.479999999996</v>
      </c>
      <c r="I625" s="139" t="s">
        <v>105</v>
      </c>
      <c r="J625" s="108">
        <f t="shared" si="51"/>
        <v>0</v>
      </c>
      <c r="K625" s="84"/>
      <c r="L625" s="87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662</v>
      </c>
      <c r="G626" s="108">
        <f>F192</f>
        <v>5037662.7299999995</v>
      </c>
      <c r="H626" s="103">
        <f>SUM(F467)</f>
        <v>5037662.7299999995</v>
      </c>
      <c r="I626" s="139" t="s">
        <v>106</v>
      </c>
      <c r="J626" s="108">
        <f>G626-H626</f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663</v>
      </c>
      <c r="G627" s="108">
        <f>G192</f>
        <v>52867.02</v>
      </c>
      <c r="H627" s="103">
        <f>SUM(G467)</f>
        <v>52867.02</v>
      </c>
      <c r="I627" s="139" t="s">
        <v>107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664</v>
      </c>
      <c r="G628" s="108">
        <f>H192</f>
        <v>49436.11</v>
      </c>
      <c r="H628" s="103">
        <f>SUM(H467)</f>
        <v>49436.11</v>
      </c>
      <c r="I628" s="139" t="s">
        <v>108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665</v>
      </c>
      <c r="G629" s="108">
        <f>I192</f>
        <v>0</v>
      </c>
      <c r="H629" s="103">
        <f>SUM(I467)</f>
        <v>0</v>
      </c>
      <c r="I629" s="139" t="s">
        <v>109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666</v>
      </c>
      <c r="G630" s="108">
        <f>J192</f>
        <v>20026.060000000001</v>
      </c>
      <c r="H630" s="103">
        <f>SUM(J467)</f>
        <v>20026.060000000001</v>
      </c>
      <c r="I630" s="139" t="s">
        <v>110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395</v>
      </c>
      <c r="G631" s="108">
        <f>SUM(L270)</f>
        <v>4934129.72</v>
      </c>
      <c r="H631" s="103">
        <f>SUM(F471)</f>
        <v>4934129.72</v>
      </c>
      <c r="I631" s="139" t="s">
        <v>111</v>
      </c>
      <c r="J631" s="108">
        <f t="shared" si="51"/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396</v>
      </c>
      <c r="G632" s="108">
        <f>SUM(L351)</f>
        <v>49436.11</v>
      </c>
      <c r="H632" s="103">
        <f>SUM(H471)</f>
        <v>49436.11</v>
      </c>
      <c r="I632" s="139" t="s">
        <v>112</v>
      </c>
      <c r="J632" s="108">
        <f>G632-H632</f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41" t="s">
        <v>247</v>
      </c>
      <c r="G633" s="108">
        <f>I361</f>
        <v>0</v>
      </c>
      <c r="H633" s="103">
        <f>I368</f>
        <v>0</v>
      </c>
      <c r="I633" s="142" t="s">
        <v>248</v>
      </c>
      <c r="J633" s="108">
        <f>G633-H633</f>
        <v>0</v>
      </c>
      <c r="K633" s="84"/>
      <c r="L633" s="87"/>
      <c r="M633" s="8"/>
    </row>
    <row r="634" spans="1:13" s="167" customFormat="1" ht="12" customHeight="1" x14ac:dyDescent="0.15">
      <c r="A634" s="22"/>
      <c r="B634" s="104"/>
      <c r="C634" s="104"/>
      <c r="D634" s="104"/>
      <c r="E634" s="104"/>
      <c r="F634" s="119" t="s">
        <v>113</v>
      </c>
      <c r="G634" s="108">
        <f>SUM(L361)</f>
        <v>50623.19</v>
      </c>
      <c r="H634" s="103">
        <f>SUM(G471)</f>
        <v>50623.19</v>
      </c>
      <c r="I634" s="139" t="s">
        <v>114</v>
      </c>
      <c r="J634" s="108">
        <f t="shared" si="51"/>
        <v>0</v>
      </c>
      <c r="K634" s="84"/>
      <c r="L634" s="87"/>
      <c r="M634" s="166"/>
    </row>
    <row r="635" spans="1:13" s="167" customFormat="1" ht="12" customHeight="1" x14ac:dyDescent="0.15">
      <c r="A635" s="22"/>
      <c r="B635" s="104"/>
      <c r="C635" s="104"/>
      <c r="D635" s="104"/>
      <c r="E635" s="104"/>
      <c r="F635" s="119" t="s">
        <v>115</v>
      </c>
      <c r="G635" s="108">
        <f>SUM(L381)</f>
        <v>0</v>
      </c>
      <c r="H635" s="103">
        <f>SUM(I471)</f>
        <v>0</v>
      </c>
      <c r="I635" s="139" t="s">
        <v>116</v>
      </c>
      <c r="J635" s="108">
        <f t="shared" si="51"/>
        <v>0</v>
      </c>
      <c r="K635" s="84"/>
      <c r="L635" s="87"/>
      <c r="M635" s="166"/>
    </row>
    <row r="636" spans="1:13" s="3" customFormat="1" ht="12" customHeight="1" x14ac:dyDescent="0.15">
      <c r="A636" s="159"/>
      <c r="B636" s="160"/>
      <c r="C636" s="160"/>
      <c r="D636" s="160"/>
      <c r="E636" s="160"/>
      <c r="F636" s="161" t="s">
        <v>478</v>
      </c>
      <c r="G636" s="149">
        <f>SUM(L407)</f>
        <v>20026.060000000001</v>
      </c>
      <c r="H636" s="162">
        <f>SUM(J467)</f>
        <v>20026.060000000001</v>
      </c>
      <c r="I636" s="163" t="s">
        <v>110</v>
      </c>
      <c r="J636" s="149">
        <f t="shared" si="51"/>
        <v>0</v>
      </c>
      <c r="K636" s="164"/>
      <c r="L636" s="165"/>
      <c r="M636" s="8"/>
    </row>
    <row r="637" spans="1:13" s="3" customFormat="1" ht="12" customHeight="1" x14ac:dyDescent="0.15">
      <c r="A637" s="159"/>
      <c r="B637" s="160"/>
      <c r="C637" s="160"/>
      <c r="D637" s="160"/>
      <c r="E637" s="160"/>
      <c r="F637" s="161" t="s">
        <v>479</v>
      </c>
      <c r="G637" s="149">
        <f>SUM(L433)</f>
        <v>0</v>
      </c>
      <c r="H637" s="162">
        <f>SUM(J471)</f>
        <v>0</v>
      </c>
      <c r="I637" s="163" t="s">
        <v>117</v>
      </c>
      <c r="J637" s="149">
        <f t="shared" si="51"/>
        <v>0</v>
      </c>
      <c r="K637" s="164"/>
      <c r="L637" s="165"/>
      <c r="M637" s="8"/>
    </row>
    <row r="638" spans="1:13" s="3" customFormat="1" ht="12" customHeight="1" x14ac:dyDescent="0.15">
      <c r="A638" s="22"/>
      <c r="B638" s="104"/>
      <c r="C638" s="104"/>
      <c r="D638" s="104"/>
      <c r="E638" s="104"/>
      <c r="F638" s="119" t="s">
        <v>118</v>
      </c>
      <c r="G638" s="108">
        <f>SUM(F445)</f>
        <v>98572.479999999996</v>
      </c>
      <c r="H638" s="103">
        <f>SUM(F460)</f>
        <v>98572.479999999996</v>
      </c>
      <c r="I638" s="139" t="s">
        <v>857</v>
      </c>
      <c r="J638" s="108">
        <f t="shared" si="51"/>
        <v>0</v>
      </c>
      <c r="K638" s="84"/>
      <c r="L638" s="87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119</v>
      </c>
      <c r="G639" s="108">
        <f>SUM(G445)</f>
        <v>0</v>
      </c>
      <c r="H639" s="103">
        <f>SUM(G460)</f>
        <v>0</v>
      </c>
      <c r="I639" s="139" t="s">
        <v>858</v>
      </c>
      <c r="J639" s="108">
        <f t="shared" si="51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120</v>
      </c>
      <c r="G640" s="108">
        <f>SUM(H445)</f>
        <v>0</v>
      </c>
      <c r="H640" s="103">
        <f>SUM(H460)</f>
        <v>0</v>
      </c>
      <c r="I640" s="139" t="s">
        <v>859</v>
      </c>
      <c r="J640" s="108">
        <f t="shared" si="51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121</v>
      </c>
      <c r="G641" s="108">
        <f>SUM(I445)</f>
        <v>98572.479999999996</v>
      </c>
      <c r="H641" s="103">
        <f>SUM(I460)</f>
        <v>98572.479999999996</v>
      </c>
      <c r="I641" s="139" t="s">
        <v>860</v>
      </c>
      <c r="J641" s="108">
        <f t="shared" si="51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249</v>
      </c>
      <c r="G642" s="108">
        <f>J56</f>
        <v>0</v>
      </c>
      <c r="H642" s="103">
        <f>F407</f>
        <v>0</v>
      </c>
      <c r="I642" s="139" t="s">
        <v>480</v>
      </c>
      <c r="J642" s="108">
        <f t="shared" si="51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667</v>
      </c>
      <c r="G643" s="108">
        <f>J95</f>
        <v>26.06</v>
      </c>
      <c r="H643" s="103">
        <f>H407</f>
        <v>26.06</v>
      </c>
      <c r="I643" s="139" t="s">
        <v>481</v>
      </c>
      <c r="J643" s="108">
        <f t="shared" si="51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668</v>
      </c>
      <c r="G644" s="108">
        <f>J182</f>
        <v>20000</v>
      </c>
      <c r="H644" s="103">
        <f>G407</f>
        <v>20000</v>
      </c>
      <c r="I644" s="139" t="s">
        <v>482</v>
      </c>
      <c r="J644" s="108">
        <f t="shared" si="51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666</v>
      </c>
      <c r="G645" s="108">
        <f>J192</f>
        <v>20026.060000000001</v>
      </c>
      <c r="H645" s="103">
        <f>L407</f>
        <v>20026.060000000001</v>
      </c>
      <c r="I645" s="139" t="s">
        <v>478</v>
      </c>
      <c r="J645" s="108">
        <f t="shared" si="51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51</v>
      </c>
      <c r="G646" s="108">
        <f>K597</f>
        <v>206405.11</v>
      </c>
      <c r="H646" s="103">
        <f>L207+L225+L243</f>
        <v>206405.11</v>
      </c>
      <c r="I646" s="139" t="s">
        <v>397</v>
      </c>
      <c r="J646" s="108">
        <f t="shared" si="51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52</v>
      </c>
      <c r="G647" s="108">
        <f>K604</f>
        <v>58171.41</v>
      </c>
      <c r="H647" s="103">
        <f>(J256+J337)-(J254+J335)</f>
        <v>58171.41</v>
      </c>
      <c r="I647" s="139" t="s">
        <v>703</v>
      </c>
      <c r="J647" s="108">
        <f t="shared" si="51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388</v>
      </c>
      <c r="G648" s="108">
        <f>L207</f>
        <v>118780.29915094341</v>
      </c>
      <c r="H648" s="103">
        <f>H597</f>
        <v>118780.29915094341</v>
      </c>
      <c r="I648" s="139" t="s">
        <v>389</v>
      </c>
      <c r="J648" s="108">
        <f t="shared" si="51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393</v>
      </c>
      <c r="G649" s="108">
        <f>L225</f>
        <v>27261.052264150945</v>
      </c>
      <c r="H649" s="103">
        <f>I597</f>
        <v>27261.052264150941</v>
      </c>
      <c r="I649" s="139" t="s">
        <v>390</v>
      </c>
      <c r="J649" s="108">
        <f t="shared" si="51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394</v>
      </c>
      <c r="G650" s="108">
        <f>L243</f>
        <v>60363.758584905663</v>
      </c>
      <c r="H650" s="103">
        <f>J597</f>
        <v>60363.758584905656</v>
      </c>
      <c r="I650" s="139" t="s">
        <v>391</v>
      </c>
      <c r="J650" s="108">
        <f t="shared" si="51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669</v>
      </c>
      <c r="G651" s="108">
        <f>G178</f>
        <v>10000</v>
      </c>
      <c r="H651" s="103">
        <f>K262+K344</f>
        <v>10000</v>
      </c>
      <c r="I651" s="139" t="s">
        <v>398</v>
      </c>
      <c r="J651" s="108">
        <f t="shared" si="51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670</v>
      </c>
      <c r="G652" s="108">
        <f>H178</f>
        <v>0</v>
      </c>
      <c r="H652" s="103">
        <f>K263</f>
        <v>0</v>
      </c>
      <c r="I652" s="139" t="s">
        <v>399</v>
      </c>
      <c r="J652" s="108">
        <f t="shared" si="51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671</v>
      </c>
      <c r="G653" s="108">
        <f>I178</f>
        <v>0</v>
      </c>
      <c r="H653" s="103">
        <f>K264+K345</f>
        <v>0</v>
      </c>
      <c r="I653" s="139" t="s">
        <v>400</v>
      </c>
      <c r="J653" s="108">
        <f t="shared" si="51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672</v>
      </c>
      <c r="G654" s="108">
        <f>J178+J180</f>
        <v>20000</v>
      </c>
      <c r="H654" s="103">
        <f>K265+K346</f>
        <v>20000</v>
      </c>
      <c r="I654" s="139" t="s">
        <v>401</v>
      </c>
      <c r="J654" s="108">
        <f t="shared" si="51"/>
        <v>0</v>
      </c>
      <c r="K654" s="84"/>
      <c r="L654" s="87"/>
      <c r="M654" s="8"/>
    </row>
    <row r="655" spans="1:13" s="3" customFormat="1" ht="12" customHeight="1" x14ac:dyDescent="0.15">
      <c r="A655" s="126"/>
      <c r="B655" s="126"/>
      <c r="C655" s="126"/>
      <c r="D655" s="126"/>
      <c r="E655" s="126"/>
      <c r="F655" s="26" t="s">
        <v>122</v>
      </c>
      <c r="G655" s="19"/>
      <c r="H655" s="103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3184881.749150943</v>
      </c>
      <c r="G659" s="19">
        <f>(L228+L308+L358)</f>
        <v>533751.30226415093</v>
      </c>
      <c r="H659" s="19">
        <f>(L246+L327+L359)</f>
        <v>1285555.9685849056</v>
      </c>
      <c r="I659" s="19">
        <f>SUM(F659:H659)</f>
        <v>5004189.0199999996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22558.43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22558.43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118780.29915094341</v>
      </c>
      <c r="G661" s="19">
        <f>(L225+L305)-(J225+J305)</f>
        <v>27261.052264150945</v>
      </c>
      <c r="H661" s="19">
        <f>(L243+L324)-(J243+J324)</f>
        <v>60363.758584905663</v>
      </c>
      <c r="I661" s="19">
        <f>SUM(F661:H661)</f>
        <v>206405.11</v>
      </c>
      <c r="J661"/>
      <c r="K661" s="13"/>
      <c r="L661" s="13"/>
      <c r="M661" s="8"/>
    </row>
    <row r="662" spans="1:13" s="3" customFormat="1" ht="12" customHeight="1" x14ac:dyDescent="0.15">
      <c r="A662" s="196" t="s">
        <v>129</v>
      </c>
      <c r="B662" s="167"/>
      <c r="C662" s="167"/>
      <c r="D662" s="167"/>
      <c r="E662" s="167"/>
      <c r="F662" s="197">
        <f>SUM(F574:F586)+SUM(H601:H603)+SUM(L610)</f>
        <v>58851.87</v>
      </c>
      <c r="G662" s="197">
        <f>SUM(G574:G586)+SUM(I601:I603)+L611</f>
        <v>506490.25</v>
      </c>
      <c r="H662" s="197">
        <f>SUM(H574:H586)+SUM(J601:J603)+L612</f>
        <v>1225192.21</v>
      </c>
      <c r="I662" s="19">
        <f>SUM(F662:H662)</f>
        <v>1790534.33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2984691.1499999994</v>
      </c>
      <c r="G663" s="19">
        <f>G659-SUM(G660:G662)</f>
        <v>0</v>
      </c>
      <c r="H663" s="19">
        <f>H659-SUM(H660:H662)</f>
        <v>0</v>
      </c>
      <c r="I663" s="19">
        <f>I659-SUM(I660:I662)</f>
        <v>2984691.1499999994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4">
        <v>176.8</v>
      </c>
      <c r="G664" s="245"/>
      <c r="H664" s="245"/>
      <c r="I664" s="19">
        <f>SUM(F664:H664)</f>
        <v>176.8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16881.740000000002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16881.740000000002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16881.740000000002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16881.740000000002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0" t="s">
        <v>785</v>
      </c>
      <c r="B1" s="229" t="str">
        <f>'DOE25'!A2</f>
        <v>Rollinsford SD</v>
      </c>
      <c r="C1" s="235" t="s">
        <v>839</v>
      </c>
    </row>
    <row r="2" spans="1:3" x14ac:dyDescent="0.2">
      <c r="A2" s="230"/>
      <c r="B2" s="229"/>
    </row>
    <row r="3" spans="1:3" x14ac:dyDescent="0.2">
      <c r="A3" s="274" t="s">
        <v>784</v>
      </c>
      <c r="B3" s="274"/>
      <c r="C3" s="274"/>
    </row>
    <row r="4" spans="1:3" x14ac:dyDescent="0.2">
      <c r="A4" s="233"/>
      <c r="B4" s="234" t="str">
        <f>'DOE25'!H1</f>
        <v>DOE 25  2012-2013</v>
      </c>
      <c r="C4" s="233"/>
    </row>
    <row r="5" spans="1:3" x14ac:dyDescent="0.2">
      <c r="A5" s="230"/>
      <c r="B5" s="229"/>
    </row>
    <row r="6" spans="1:3" x14ac:dyDescent="0.2">
      <c r="A6" s="224"/>
      <c r="B6" s="273" t="s">
        <v>783</v>
      </c>
      <c r="C6" s="273"/>
    </row>
    <row r="7" spans="1:3" x14ac:dyDescent="0.2">
      <c r="A7" s="236" t="s">
        <v>786</v>
      </c>
      <c r="B7" s="271" t="s">
        <v>782</v>
      </c>
      <c r="C7" s="272"/>
    </row>
    <row r="8" spans="1:3" x14ac:dyDescent="0.2">
      <c r="B8" s="225" t="s">
        <v>54</v>
      </c>
      <c r="C8" s="225" t="s">
        <v>776</v>
      </c>
    </row>
    <row r="9" spans="1:3" x14ac:dyDescent="0.2">
      <c r="A9" s="33" t="s">
        <v>777</v>
      </c>
      <c r="B9" s="226">
        <f>'DOE25'!F196+'DOE25'!F214+'DOE25'!F232+'DOE25'!F275+'DOE25'!F294+'DOE25'!F313</f>
        <v>889546.36</v>
      </c>
      <c r="C9" s="226">
        <f>'DOE25'!G196+'DOE25'!G214+'DOE25'!G232+'DOE25'!G275+'DOE25'!G294+'DOE25'!G313</f>
        <v>388223.3</v>
      </c>
    </row>
    <row r="10" spans="1:3" x14ac:dyDescent="0.2">
      <c r="A10" t="s">
        <v>779</v>
      </c>
      <c r="B10" s="237">
        <f>755971.37</f>
        <v>755971.37</v>
      </c>
      <c r="C10" s="237">
        <f>211156.3+7992.83+2756.32+1411.98+4733.02+55830.27+73086.31+20081.11</f>
        <v>377048.13999999996</v>
      </c>
    </row>
    <row r="11" spans="1:3" x14ac:dyDescent="0.2">
      <c r="A11" t="s">
        <v>780</v>
      </c>
      <c r="B11" s="237">
        <f>39916.3+10000</f>
        <v>49916.3</v>
      </c>
      <c r="C11" s="237">
        <f>3053.5+1721.42</f>
        <v>4774.92</v>
      </c>
    </row>
    <row r="12" spans="1:3" x14ac:dyDescent="0.2">
      <c r="A12" t="s">
        <v>781</v>
      </c>
      <c r="B12" s="237">
        <f>19356.3+64302.39</f>
        <v>83658.69</v>
      </c>
      <c r="C12" s="237">
        <f>1480.76+4919.48</f>
        <v>6400.24</v>
      </c>
    </row>
    <row r="13" spans="1:3" x14ac:dyDescent="0.2">
      <c r="A13" t="str">
        <f>IF(B9=B13,IF(C9=C13,"Check Total OK","Check Total Error"),"Check Total Error")</f>
        <v>Check Total OK</v>
      </c>
      <c r="B13" s="228">
        <f>SUM(B10:B12)</f>
        <v>889546.3600000001</v>
      </c>
      <c r="C13" s="228">
        <f>SUM(C10:C12)</f>
        <v>388223.29999999993</v>
      </c>
    </row>
    <row r="14" spans="1:3" x14ac:dyDescent="0.2">
      <c r="B14" s="227"/>
      <c r="C14" s="227"/>
    </row>
    <row r="15" spans="1:3" x14ac:dyDescent="0.2">
      <c r="B15" s="273" t="s">
        <v>783</v>
      </c>
      <c r="C15" s="273"/>
    </row>
    <row r="16" spans="1:3" x14ac:dyDescent="0.2">
      <c r="A16" s="236" t="s">
        <v>787</v>
      </c>
      <c r="B16" s="271" t="s">
        <v>707</v>
      </c>
      <c r="C16" s="272"/>
    </row>
    <row r="17" spans="1:3" x14ac:dyDescent="0.2">
      <c r="B17" s="225" t="s">
        <v>54</v>
      </c>
      <c r="C17" s="225" t="s">
        <v>776</v>
      </c>
    </row>
    <row r="18" spans="1:3" x14ac:dyDescent="0.2">
      <c r="A18" s="33" t="s">
        <v>777</v>
      </c>
      <c r="B18" s="226">
        <f>'DOE25'!F197+'DOE25'!F215+'DOE25'!F233+'DOE25'!F276+'DOE25'!F295+'DOE25'!F314</f>
        <v>407375.59</v>
      </c>
      <c r="C18" s="226">
        <f>'DOE25'!G197+'DOE25'!G215+'DOE25'!G233+'DOE25'!G276+'DOE25'!G295+'DOE25'!G314</f>
        <v>119101.3</v>
      </c>
    </row>
    <row r="19" spans="1:3" x14ac:dyDescent="0.2">
      <c r="A19" t="s">
        <v>779</v>
      </c>
      <c r="B19" s="237">
        <f>131245</f>
        <v>131245</v>
      </c>
      <c r="C19" s="237">
        <f>362.99+47685.34+1086.6+506.88+243.75+1123.98+9411.56+1145.39+14830.69</f>
        <v>76397.179999999993</v>
      </c>
    </row>
    <row r="20" spans="1:3" x14ac:dyDescent="0.2">
      <c r="A20" t="s">
        <v>780</v>
      </c>
      <c r="B20" s="237">
        <f>27770.15+210896.69+20181.58</f>
        <v>258848.41999999998</v>
      </c>
      <c r="C20" s="237">
        <f>2124.67+16181.81+18627.72+3230.92</f>
        <v>40165.119999999995</v>
      </c>
    </row>
    <row r="21" spans="1:3" x14ac:dyDescent="0.2">
      <c r="A21" t="s">
        <v>781</v>
      </c>
      <c r="B21" s="237">
        <f>13829.17+3453</f>
        <v>17282.169999999998</v>
      </c>
      <c r="C21" s="237">
        <f>1058+1216.89+264.11</f>
        <v>2539.0000000000005</v>
      </c>
    </row>
    <row r="22" spans="1:3" x14ac:dyDescent="0.2">
      <c r="A22" t="str">
        <f>IF(B18=B22,IF(C18=C22,"Check Total OK","Check Total Error"),"Check Total Error")</f>
        <v>Check Total OK</v>
      </c>
      <c r="B22" s="228">
        <f>SUM(B19:B21)</f>
        <v>407375.58999999997</v>
      </c>
      <c r="C22" s="228">
        <f>SUM(C19:C21)</f>
        <v>119101.29999999999</v>
      </c>
    </row>
    <row r="23" spans="1:3" x14ac:dyDescent="0.2">
      <c r="B23" s="227"/>
      <c r="C23" s="227"/>
    </row>
    <row r="24" spans="1:3" x14ac:dyDescent="0.2">
      <c r="B24" s="273" t="s">
        <v>783</v>
      </c>
      <c r="C24" s="273"/>
    </row>
    <row r="25" spans="1:3" x14ac:dyDescent="0.2">
      <c r="A25" s="236" t="s">
        <v>788</v>
      </c>
      <c r="B25" s="271" t="s">
        <v>708</v>
      </c>
      <c r="C25" s="272"/>
    </row>
    <row r="26" spans="1:3" x14ac:dyDescent="0.2">
      <c r="B26" s="225" t="s">
        <v>54</v>
      </c>
      <c r="C26" s="225" t="s">
        <v>776</v>
      </c>
    </row>
    <row r="27" spans="1:3" x14ac:dyDescent="0.2">
      <c r="A27" s="33" t="s">
        <v>777</v>
      </c>
      <c r="B27" s="231">
        <f>'DOE25'!F198+'DOE25'!F216+'DOE25'!F234+'DOE25'!F277+'DOE25'!F296+'DOE25'!F315</f>
        <v>0</v>
      </c>
      <c r="C27" s="231">
        <f>'DOE25'!G198+'DOE25'!G216+'DOE25'!G234+'DOE25'!G277+'DOE25'!G296+'DOE25'!G315</f>
        <v>0</v>
      </c>
    </row>
    <row r="28" spans="1:3" x14ac:dyDescent="0.2">
      <c r="A28" t="s">
        <v>779</v>
      </c>
      <c r="B28" s="237">
        <v>0</v>
      </c>
      <c r="C28" s="237">
        <v>0</v>
      </c>
    </row>
    <row r="29" spans="1:3" x14ac:dyDescent="0.2">
      <c r="A29" t="s">
        <v>780</v>
      </c>
      <c r="B29" s="237">
        <v>0</v>
      </c>
      <c r="C29" s="237">
        <v>0</v>
      </c>
    </row>
    <row r="30" spans="1:3" x14ac:dyDescent="0.2">
      <c r="A30" t="s">
        <v>781</v>
      </c>
      <c r="B30" s="237">
        <v>0</v>
      </c>
      <c r="C30" s="237">
        <v>0</v>
      </c>
    </row>
    <row r="31" spans="1:3" x14ac:dyDescent="0.2">
      <c r="A31" t="str">
        <f>IF(B27=B31,IF(C27=C31,"Check Total OK","Check Total Error"),"Check Total Error")</f>
        <v>Check Total OK</v>
      </c>
      <c r="B31" s="228">
        <f>SUM(B28:B30)</f>
        <v>0</v>
      </c>
      <c r="C31" s="228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36" t="s">
        <v>789</v>
      </c>
      <c r="B34" s="271" t="s">
        <v>709</v>
      </c>
      <c r="C34" s="272"/>
    </row>
    <row r="35" spans="1:3" x14ac:dyDescent="0.2">
      <c r="B35" s="225" t="s">
        <v>54</v>
      </c>
      <c r="C35" s="225" t="s">
        <v>776</v>
      </c>
    </row>
    <row r="36" spans="1:3" x14ac:dyDescent="0.2">
      <c r="A36" s="33" t="s">
        <v>777</v>
      </c>
      <c r="B36" s="232">
        <f>'DOE25'!F199+'DOE25'!F217+'DOE25'!F235+'DOE25'!F278+'DOE25'!F297+'DOE25'!F316</f>
        <v>1840</v>
      </c>
      <c r="C36" s="232">
        <f>'DOE25'!G199+'DOE25'!G217+'DOE25'!G235+'DOE25'!G278+'DOE25'!G297+'DOE25'!G316</f>
        <v>207.89</v>
      </c>
    </row>
    <row r="37" spans="1:3" x14ac:dyDescent="0.2">
      <c r="A37" t="s">
        <v>779</v>
      </c>
      <c r="B37" s="237">
        <v>1840</v>
      </c>
      <c r="C37" s="237">
        <f>138.55+69.34</f>
        <v>207.89000000000001</v>
      </c>
    </row>
    <row r="38" spans="1:3" x14ac:dyDescent="0.2">
      <c r="A38" t="s">
        <v>780</v>
      </c>
      <c r="B38" s="237">
        <v>0</v>
      </c>
      <c r="C38" s="237">
        <v>0</v>
      </c>
    </row>
    <row r="39" spans="1:3" x14ac:dyDescent="0.2">
      <c r="A39" t="s">
        <v>781</v>
      </c>
      <c r="B39" s="237">
        <v>0</v>
      </c>
      <c r="C39" s="237">
        <v>0</v>
      </c>
    </row>
    <row r="40" spans="1:3" x14ac:dyDescent="0.2">
      <c r="A40" t="str">
        <f>IF(B36=B40,IF(C36=C40,"Check Total OK","Check Total Error"),"Check Total Error")</f>
        <v>Check Total OK</v>
      </c>
      <c r="B40" s="228">
        <f>SUM(B37:B39)</f>
        <v>1840</v>
      </c>
      <c r="C40" s="228">
        <f>SUM(C37:C39)</f>
        <v>207.89000000000001</v>
      </c>
    </row>
    <row r="41" spans="1:3" x14ac:dyDescent="0.2">
      <c r="B41" s="227"/>
      <c r="C41" s="227"/>
    </row>
    <row r="42" spans="1:3" x14ac:dyDescent="0.2">
      <c r="A42" s="33" t="s">
        <v>837</v>
      </c>
      <c r="B42" s="227"/>
      <c r="C42" s="227"/>
    </row>
    <row r="43" spans="1:3" x14ac:dyDescent="0.2">
      <c r="A43" t="s">
        <v>841</v>
      </c>
      <c r="B43" s="227"/>
      <c r="C43" s="227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1" t="s">
        <v>778</v>
      </c>
    </row>
    <row r="49" spans="1:1" x14ac:dyDescent="0.2">
      <c r="A49" s="265" t="s">
        <v>844</v>
      </c>
    </row>
    <row r="50" spans="1:1" x14ac:dyDescent="0.2">
      <c r="A50" s="265" t="s">
        <v>838</v>
      </c>
    </row>
    <row r="51" spans="1:1" x14ac:dyDescent="0.2">
      <c r="A51" s="265" t="s">
        <v>845</v>
      </c>
    </row>
    <row r="52" spans="1:1" x14ac:dyDescent="0.2">
      <c r="A52" s="266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79"/>
    </row>
    <row r="2" spans="1:9" x14ac:dyDescent="0.2">
      <c r="A2" s="33" t="s">
        <v>717</v>
      </c>
      <c r="B2" s="262" t="str">
        <f>'DOE25'!A2</f>
        <v>Rollinsford SD</v>
      </c>
      <c r="C2" s="179"/>
      <c r="D2" s="179" t="s">
        <v>792</v>
      </c>
      <c r="E2" s="179" t="s">
        <v>794</v>
      </c>
      <c r="F2" s="275" t="s">
        <v>821</v>
      </c>
      <c r="G2" s="276"/>
      <c r="H2" s="277"/>
      <c r="I2" s="179"/>
    </row>
    <row r="3" spans="1:9" x14ac:dyDescent="0.2">
      <c r="A3" s="179" t="s">
        <v>94</v>
      </c>
      <c r="B3" s="225" t="s">
        <v>10</v>
      </c>
      <c r="C3" s="179" t="s">
        <v>5</v>
      </c>
      <c r="D3" s="179" t="s">
        <v>793</v>
      </c>
      <c r="E3" s="179" t="s">
        <v>795</v>
      </c>
      <c r="F3" s="238" t="s">
        <v>835</v>
      </c>
      <c r="G3" s="214" t="s">
        <v>59</v>
      </c>
      <c r="H3" s="239" t="s">
        <v>798</v>
      </c>
    </row>
    <row r="4" spans="1:9" x14ac:dyDescent="0.2">
      <c r="A4" s="248" t="s">
        <v>800</v>
      </c>
      <c r="B4" s="248" t="s">
        <v>816</v>
      </c>
      <c r="C4" s="248" t="s">
        <v>791</v>
      </c>
      <c r="D4" s="248" t="s">
        <v>817</v>
      </c>
      <c r="E4" s="248" t="s">
        <v>817</v>
      </c>
      <c r="F4" s="247" t="s">
        <v>797</v>
      </c>
      <c r="G4" s="248" t="s">
        <v>811</v>
      </c>
      <c r="H4" s="249" t="s">
        <v>799</v>
      </c>
    </row>
    <row r="5" spans="1:9" x14ac:dyDescent="0.2">
      <c r="A5" s="32">
        <v>1000</v>
      </c>
      <c r="B5" t="s">
        <v>195</v>
      </c>
      <c r="C5" s="242">
        <f t="shared" ref="C5:C19" si="0">SUM(D5:H5)</f>
        <v>3655500.04</v>
      </c>
      <c r="D5" s="20">
        <f>SUM('DOE25'!L196:L199)+SUM('DOE25'!L214:L217)+SUM('DOE25'!L232:L235)-F5-G5</f>
        <v>3606199.82</v>
      </c>
      <c r="E5" s="240"/>
      <c r="F5" s="252">
        <f>SUM('DOE25'!J196:J199)+SUM('DOE25'!J214:J217)+SUM('DOE25'!J232:J235)</f>
        <v>49300.22</v>
      </c>
      <c r="G5" s="53">
        <f>SUM('DOE25'!K196:K199)+SUM('DOE25'!K214:K217)+SUM('DOE25'!K232:K235)</f>
        <v>0</v>
      </c>
      <c r="H5" s="256"/>
    </row>
    <row r="6" spans="1:9" x14ac:dyDescent="0.2">
      <c r="A6" s="32">
        <v>2100</v>
      </c>
      <c r="B6" t="s">
        <v>801</v>
      </c>
      <c r="C6" s="242">
        <f t="shared" si="0"/>
        <v>310368.62</v>
      </c>
      <c r="D6" s="20">
        <f>'DOE25'!L201+'DOE25'!L219+'DOE25'!L237-F6-G6</f>
        <v>310094.62</v>
      </c>
      <c r="E6" s="240"/>
      <c r="F6" s="252">
        <f>'DOE25'!J201+'DOE25'!J219+'DOE25'!J237</f>
        <v>274</v>
      </c>
      <c r="G6" s="53">
        <f>'DOE25'!K201+'DOE25'!K219+'DOE25'!K237</f>
        <v>0</v>
      </c>
      <c r="H6" s="256"/>
    </row>
    <row r="7" spans="1:9" x14ac:dyDescent="0.2">
      <c r="A7" s="32">
        <v>2200</v>
      </c>
      <c r="B7" t="s">
        <v>834</v>
      </c>
      <c r="C7" s="242">
        <f t="shared" si="0"/>
        <v>56322.58</v>
      </c>
      <c r="D7" s="20">
        <f>'DOE25'!L202+'DOE25'!L220+'DOE25'!L238-F7-G7</f>
        <v>54429.04</v>
      </c>
      <c r="E7" s="240"/>
      <c r="F7" s="252">
        <f>'DOE25'!J202+'DOE25'!J220+'DOE25'!J238</f>
        <v>596.79</v>
      </c>
      <c r="G7" s="53">
        <f>'DOE25'!K202+'DOE25'!K220+'DOE25'!K238</f>
        <v>1296.75</v>
      </c>
      <c r="H7" s="256"/>
    </row>
    <row r="8" spans="1:9" x14ac:dyDescent="0.2">
      <c r="A8" s="32">
        <v>2300</v>
      </c>
      <c r="B8" t="s">
        <v>802</v>
      </c>
      <c r="C8" s="242">
        <f t="shared" si="0"/>
        <v>130752.36722397977</v>
      </c>
      <c r="D8" s="240"/>
      <c r="E8" s="20">
        <f>'DOE25'!L203+'DOE25'!L221+'DOE25'!L239-F8-G8-D9-D11</f>
        <v>127638.06722397977</v>
      </c>
      <c r="F8" s="252">
        <f>'DOE25'!J203+'DOE25'!J221+'DOE25'!J239</f>
        <v>0</v>
      </c>
      <c r="G8" s="53">
        <f>'DOE25'!K203+'DOE25'!K221+'DOE25'!K239</f>
        <v>3114.3</v>
      </c>
      <c r="H8" s="256"/>
    </row>
    <row r="9" spans="1:9" x14ac:dyDescent="0.2">
      <c r="A9" s="32">
        <v>2310</v>
      </c>
      <c r="B9" t="s">
        <v>818</v>
      </c>
      <c r="C9" s="242">
        <f t="shared" si="0"/>
        <v>31279.030000000002</v>
      </c>
      <c r="D9" s="241">
        <f>3114.3+9330.9+4366.93+576.32+1113.7+12640.7+136.18</f>
        <v>31279.030000000002</v>
      </c>
      <c r="E9" s="240"/>
      <c r="F9" s="255"/>
      <c r="G9" s="253"/>
      <c r="H9" s="256"/>
    </row>
    <row r="10" spans="1:9" x14ac:dyDescent="0.2">
      <c r="A10" s="32">
        <v>2317</v>
      </c>
      <c r="B10" t="s">
        <v>819</v>
      </c>
      <c r="C10" s="242">
        <f t="shared" si="0"/>
        <v>1113.7</v>
      </c>
      <c r="D10" s="240"/>
      <c r="E10" s="241">
        <v>1113.7</v>
      </c>
      <c r="F10" s="255"/>
      <c r="G10" s="253"/>
      <c r="H10" s="256"/>
    </row>
    <row r="11" spans="1:9" x14ac:dyDescent="0.2">
      <c r="A11" s="32">
        <v>2321</v>
      </c>
      <c r="B11" t="s">
        <v>831</v>
      </c>
      <c r="C11" s="242">
        <f t="shared" si="0"/>
        <v>53099.602776020234</v>
      </c>
      <c r="D11" s="241">
        <v>53099.602776020234</v>
      </c>
      <c r="E11" s="240"/>
      <c r="F11" s="255"/>
      <c r="G11" s="253"/>
      <c r="H11" s="256"/>
    </row>
    <row r="12" spans="1:9" x14ac:dyDescent="0.2">
      <c r="A12" s="32">
        <v>2400</v>
      </c>
      <c r="B12" t="s">
        <v>715</v>
      </c>
      <c r="C12" s="242">
        <f t="shared" si="0"/>
        <v>159115.39000000001</v>
      </c>
      <c r="D12" s="20">
        <f>'DOE25'!L204+'DOE25'!L222+'DOE25'!L240-F12-G12</f>
        <v>159115.39000000001</v>
      </c>
      <c r="E12" s="240"/>
      <c r="F12" s="252">
        <f>'DOE25'!J204+'DOE25'!J222+'DOE25'!J240</f>
        <v>0</v>
      </c>
      <c r="G12" s="53">
        <f>'DOE25'!K204+'DOE25'!K222+'DOE25'!K240</f>
        <v>0</v>
      </c>
      <c r="H12" s="256"/>
    </row>
    <row r="13" spans="1:9" x14ac:dyDescent="0.2">
      <c r="A13" s="32">
        <v>2500</v>
      </c>
      <c r="B13" t="s">
        <v>803</v>
      </c>
      <c r="C13" s="242">
        <f t="shared" si="0"/>
        <v>0</v>
      </c>
      <c r="D13" s="240"/>
      <c r="E13" s="20">
        <f>'DOE25'!L205+'DOE25'!L223+'DOE25'!L241-F13-G13</f>
        <v>0</v>
      </c>
      <c r="F13" s="252">
        <f>'DOE25'!J205+'DOE25'!J223+'DOE25'!J241</f>
        <v>0</v>
      </c>
      <c r="G13" s="53">
        <f>'DOE25'!K205+'DOE25'!K223+'DOE25'!K241</f>
        <v>0</v>
      </c>
      <c r="H13" s="256"/>
    </row>
    <row r="14" spans="1:9" x14ac:dyDescent="0.2">
      <c r="A14" s="32">
        <v>2600</v>
      </c>
      <c r="B14" t="s">
        <v>832</v>
      </c>
      <c r="C14" s="242">
        <f t="shared" si="0"/>
        <v>301286.98000000004</v>
      </c>
      <c r="D14" s="20">
        <f>'DOE25'!L206+'DOE25'!L224+'DOE25'!L242-F14-G14</f>
        <v>293286.58</v>
      </c>
      <c r="E14" s="240"/>
      <c r="F14" s="252">
        <f>'DOE25'!J206+'DOE25'!J224+'DOE25'!J242</f>
        <v>8000.4</v>
      </c>
      <c r="G14" s="53">
        <f>'DOE25'!K206+'DOE25'!K224+'DOE25'!K242</f>
        <v>0</v>
      </c>
      <c r="H14" s="256"/>
    </row>
    <row r="15" spans="1:9" x14ac:dyDescent="0.2">
      <c r="A15" s="32">
        <v>2700</v>
      </c>
      <c r="B15" t="s">
        <v>804</v>
      </c>
      <c r="C15" s="242">
        <f t="shared" si="0"/>
        <v>206405.11</v>
      </c>
      <c r="D15" s="20">
        <f>'DOE25'!L207+'DOE25'!L225+'DOE25'!L243-F15-G15</f>
        <v>206405.11</v>
      </c>
      <c r="E15" s="240"/>
      <c r="F15" s="252">
        <f>'DOE25'!J207+'DOE25'!J225+'DOE25'!J243</f>
        <v>0</v>
      </c>
      <c r="G15" s="53">
        <f>'DOE25'!K207+'DOE25'!K225+'DOE25'!K243</f>
        <v>0</v>
      </c>
      <c r="H15" s="256"/>
    </row>
    <row r="16" spans="1:9" x14ac:dyDescent="0.2">
      <c r="A16" s="32">
        <v>2800</v>
      </c>
      <c r="B16" t="s">
        <v>805</v>
      </c>
      <c r="C16" s="242">
        <f t="shared" si="0"/>
        <v>0</v>
      </c>
      <c r="D16" s="240"/>
      <c r="E16" s="20">
        <f>'DOE25'!L208+'DOE25'!L226+'DOE25'!L244-F16-G16</f>
        <v>0</v>
      </c>
      <c r="F16" s="252">
        <f>'DOE25'!J208+'DOE25'!J226+'DOE25'!J244</f>
        <v>0</v>
      </c>
      <c r="G16" s="53">
        <f>'DOE25'!K208+'DOE25'!K226+'DOE25'!K244</f>
        <v>0</v>
      </c>
      <c r="H16" s="256"/>
    </row>
    <row r="17" spans="1:8" x14ac:dyDescent="0.2">
      <c r="A17" s="32">
        <v>1600</v>
      </c>
      <c r="B17" t="s">
        <v>806</v>
      </c>
      <c r="C17" s="242">
        <f t="shared" si="0"/>
        <v>0</v>
      </c>
      <c r="D17" s="20">
        <f>'DOE25'!L250-F17-G17</f>
        <v>0</v>
      </c>
      <c r="E17" s="240"/>
      <c r="F17" s="252">
        <f>'DOE25'!J250</f>
        <v>0</v>
      </c>
      <c r="G17" s="53">
        <f>'DOE25'!K250</f>
        <v>0</v>
      </c>
      <c r="H17" s="256"/>
    </row>
    <row r="18" spans="1:8" x14ac:dyDescent="0.2">
      <c r="A18" s="32">
        <v>1700</v>
      </c>
      <c r="B18" t="s">
        <v>807</v>
      </c>
      <c r="C18" s="242">
        <f t="shared" si="0"/>
        <v>0</v>
      </c>
      <c r="D18" s="20">
        <f>'DOE25'!L251-F18-G18</f>
        <v>0</v>
      </c>
      <c r="E18" s="240"/>
      <c r="F18" s="252">
        <f>'DOE25'!J251</f>
        <v>0</v>
      </c>
      <c r="G18" s="53">
        <f>'DOE25'!K251</f>
        <v>0</v>
      </c>
      <c r="H18" s="256"/>
    </row>
    <row r="19" spans="1:8" x14ac:dyDescent="0.2">
      <c r="A19" s="32">
        <v>1800</v>
      </c>
      <c r="B19" t="s">
        <v>808</v>
      </c>
      <c r="C19" s="242">
        <f t="shared" si="0"/>
        <v>0</v>
      </c>
      <c r="D19" s="20">
        <f>'DOE25'!L252-F19-G19</f>
        <v>0</v>
      </c>
      <c r="E19" s="240"/>
      <c r="F19" s="252">
        <f>'DOE25'!J252</f>
        <v>0</v>
      </c>
      <c r="G19" s="53">
        <f>'DOE25'!K252</f>
        <v>0</v>
      </c>
      <c r="H19" s="256"/>
    </row>
    <row r="20" spans="1:8" x14ac:dyDescent="0.2">
      <c r="F20" s="257"/>
      <c r="G20" s="52"/>
      <c r="H20" s="258"/>
    </row>
    <row r="21" spans="1:8" x14ac:dyDescent="0.2">
      <c r="B21" s="33" t="s">
        <v>796</v>
      </c>
      <c r="F21" s="257"/>
      <c r="G21" s="52"/>
      <c r="H21" s="258"/>
    </row>
    <row r="22" spans="1:8" x14ac:dyDescent="0.2">
      <c r="A22" s="32">
        <v>4000</v>
      </c>
      <c r="B22" t="s">
        <v>833</v>
      </c>
      <c r="C22" s="242">
        <f>SUM(D22:H22)</f>
        <v>0</v>
      </c>
      <c r="D22" s="240"/>
      <c r="E22" s="240"/>
      <c r="F22" s="252">
        <f>'DOE25'!L254+'DOE25'!L335</f>
        <v>0</v>
      </c>
      <c r="G22" s="253"/>
      <c r="H22" s="256"/>
    </row>
    <row r="23" spans="1:8" x14ac:dyDescent="0.2">
      <c r="A23" s="32"/>
      <c r="F23" s="257"/>
      <c r="G23" s="52"/>
      <c r="H23" s="258"/>
    </row>
    <row r="24" spans="1:8" x14ac:dyDescent="0.2">
      <c r="A24" s="32"/>
      <c r="B24" s="33" t="s">
        <v>464</v>
      </c>
      <c r="F24" s="257"/>
      <c r="G24" s="52"/>
      <c r="H24" s="258"/>
    </row>
    <row r="25" spans="1:8" x14ac:dyDescent="0.2">
      <c r="A25" s="32" t="s">
        <v>809</v>
      </c>
      <c r="B25" t="s">
        <v>810</v>
      </c>
      <c r="C25" s="242">
        <f>SUM(D25:H25)</f>
        <v>0</v>
      </c>
      <c r="D25" s="240"/>
      <c r="E25" s="240"/>
      <c r="F25" s="255"/>
      <c r="G25" s="253"/>
      <c r="H25" s="254">
        <f>'DOE25'!L259+'DOE25'!L260+'DOE25'!L340+'DOE25'!L341</f>
        <v>0</v>
      </c>
    </row>
    <row r="26" spans="1:8" x14ac:dyDescent="0.2">
      <c r="A26" s="32"/>
      <c r="F26" s="257"/>
      <c r="G26" s="52"/>
      <c r="H26" s="258"/>
    </row>
    <row r="27" spans="1:8" x14ac:dyDescent="0.2">
      <c r="A27" s="32"/>
      <c r="B27" s="33" t="s">
        <v>812</v>
      </c>
      <c r="F27" s="257"/>
      <c r="G27" s="52"/>
      <c r="H27" s="258"/>
    </row>
    <row r="28" spans="1:8" x14ac:dyDescent="0.2">
      <c r="A28" s="32">
        <v>3100</v>
      </c>
      <c r="B28" t="s">
        <v>825</v>
      </c>
      <c r="F28" s="257"/>
      <c r="G28" s="52"/>
      <c r="H28" s="258"/>
    </row>
    <row r="29" spans="1:8" x14ac:dyDescent="0.2">
      <c r="A29" s="32"/>
      <c r="B29" t="s">
        <v>813</v>
      </c>
      <c r="C29" s="242">
        <f>SUM(D29:H29)</f>
        <v>50623.19</v>
      </c>
      <c r="D29" s="20">
        <f>'DOE25'!L357+'DOE25'!L358+'DOE25'!L359-'DOE25'!I366-F29-G29</f>
        <v>50623.19</v>
      </c>
      <c r="E29" s="240"/>
      <c r="F29" s="252">
        <f>'DOE25'!J357+'DOE25'!J358+'DOE25'!J359</f>
        <v>0</v>
      </c>
      <c r="G29" s="53">
        <f>'DOE25'!K357+'DOE25'!K358+'DOE25'!K359</f>
        <v>0</v>
      </c>
      <c r="H29" s="256"/>
    </row>
    <row r="30" spans="1:8" x14ac:dyDescent="0.2">
      <c r="A30" s="32"/>
      <c r="D30" s="20"/>
      <c r="E30" s="240"/>
      <c r="F30" s="252"/>
      <c r="G30" s="53"/>
      <c r="H30" s="256"/>
    </row>
    <row r="31" spans="1:8" x14ac:dyDescent="0.2">
      <c r="A31" s="32" t="s">
        <v>827</v>
      </c>
      <c r="B31" t="s">
        <v>826</v>
      </c>
      <c r="C31" s="242">
        <f>SUM(D31:H31)</f>
        <v>49436.11</v>
      </c>
      <c r="D31" s="20">
        <f>'DOE25'!L289+'DOE25'!L308+'DOE25'!L327+'DOE25'!L332+'DOE25'!L333+'DOE25'!L334-F31-G31</f>
        <v>47861.53</v>
      </c>
      <c r="E31" s="240"/>
      <c r="F31" s="252">
        <f>'DOE25'!J289+'DOE25'!J308+'DOE25'!J327+'DOE25'!J332+'DOE25'!J333+'DOE25'!J334</f>
        <v>0</v>
      </c>
      <c r="G31" s="53">
        <f>'DOE25'!K289+'DOE25'!K308+'DOE25'!K327+'DOE25'!K332+'DOE25'!K333+'DOE25'!K334</f>
        <v>1574.58</v>
      </c>
      <c r="H31" s="256"/>
    </row>
    <row r="32" spans="1:8" ht="12" thickBot="1" x14ac:dyDescent="0.25">
      <c r="F32" s="259"/>
      <c r="G32" s="250"/>
      <c r="H32" s="260"/>
    </row>
    <row r="33" spans="2:8" ht="12" thickTop="1" x14ac:dyDescent="0.2">
      <c r="B33" t="s">
        <v>814</v>
      </c>
      <c r="D33" s="243">
        <f>SUM(D5:D31)</f>
        <v>4812393.9127760213</v>
      </c>
      <c r="E33" s="243">
        <f>SUM(E5:E31)</f>
        <v>128751.76722397977</v>
      </c>
      <c r="F33" s="243">
        <f>SUM(F5:F31)</f>
        <v>58171.41</v>
      </c>
      <c r="G33" s="243">
        <f>SUM(G5:G31)</f>
        <v>5985.63</v>
      </c>
      <c r="H33" s="243">
        <f>SUM(H5:H31)</f>
        <v>0</v>
      </c>
    </row>
    <row r="35" spans="2:8" ht="12" thickBot="1" x14ac:dyDescent="0.25">
      <c r="B35" s="250" t="s">
        <v>847</v>
      </c>
      <c r="D35" s="251">
        <f>E33</f>
        <v>128751.76722397977</v>
      </c>
      <c r="E35" s="246"/>
    </row>
    <row r="36" spans="2:8" ht="12" thickTop="1" x14ac:dyDescent="0.2">
      <c r="B36" t="s">
        <v>815</v>
      </c>
      <c r="D36" s="20">
        <f>D33</f>
        <v>4812393.9127760213</v>
      </c>
    </row>
    <row r="38" spans="2:8" x14ac:dyDescent="0.2">
      <c r="B38" s="185" t="s">
        <v>903</v>
      </c>
      <c r="C38" s="263"/>
      <c r="D38" s="264"/>
    </row>
    <row r="39" spans="2:8" x14ac:dyDescent="0.2">
      <c r="B39" t="s">
        <v>824</v>
      </c>
      <c r="D39" s="179" t="str">
        <f>IF(E10&gt;0,"Y","N")</f>
        <v>Y</v>
      </c>
    </row>
    <row r="41" spans="2:8" x14ac:dyDescent="0.2">
      <c r="B41" s="261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Rollinsford SD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317527.96999999997</v>
      </c>
      <c r="D8" s="94">
        <f>'DOE25'!G9</f>
        <v>0</v>
      </c>
      <c r="E8" s="94">
        <f>'DOE25'!H9</f>
        <v>0</v>
      </c>
      <c r="F8" s="94">
        <f>'DOE25'!I9</f>
        <v>0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1009.9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98572.479999999996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147996.15</v>
      </c>
      <c r="D11" s="94">
        <f>'DOE25'!G12</f>
        <v>54109.04</v>
      </c>
      <c r="E11" s="94">
        <f>'DOE25'!H12</f>
        <v>51311.729999999996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14171.68</v>
      </c>
      <c r="D12" s="94">
        <f>'DOE25'!G13</f>
        <v>6643.54</v>
      </c>
      <c r="E12" s="94">
        <f>'DOE25'!H13</f>
        <v>18837.98</v>
      </c>
      <c r="F12" s="94">
        <f>'DOE25'!I13</f>
        <v>0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0</v>
      </c>
      <c r="D13" s="94">
        <f>'DOE25'!G14</f>
        <v>0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480705.7</v>
      </c>
      <c r="D18" s="41">
        <f>SUM(D8:D17)</f>
        <v>60752.58</v>
      </c>
      <c r="E18" s="41">
        <f>SUM(E8:E17)</f>
        <v>70149.709999999992</v>
      </c>
      <c r="F18" s="41">
        <f>SUM(F8:F17)</f>
        <v>0</v>
      </c>
      <c r="G18" s="41">
        <f>SUM(G8:G17)</f>
        <v>98572.479999999996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131330.22999999998</v>
      </c>
      <c r="D21" s="94">
        <f>'DOE25'!G22</f>
        <v>55100.28</v>
      </c>
      <c r="E21" s="94">
        <f>'DOE25'!H22</f>
        <v>66987.399999999994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16595.900000000001</v>
      </c>
      <c r="D22" s="94">
        <f>'DOE25'!G23</f>
        <v>0</v>
      </c>
      <c r="E22" s="94">
        <f>'DOE25'!H23</f>
        <v>3162.31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44577.56</v>
      </c>
      <c r="D23" s="94">
        <f>'DOE25'!G24</f>
        <v>0</v>
      </c>
      <c r="E23" s="94">
        <f>'DOE25'!H24</f>
        <v>0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0</v>
      </c>
      <c r="E29" s="94">
        <f>'DOE25'!H30</f>
        <v>0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192503.68999999997</v>
      </c>
      <c r="D31" s="41">
        <f>SUM(D21:D30)</f>
        <v>55100.28</v>
      </c>
      <c r="E31" s="41">
        <f>SUM(E21:E30)</f>
        <v>70149.709999999992</v>
      </c>
      <c r="F31" s="41">
        <f>SUM(F21:F30)</f>
        <v>0</v>
      </c>
      <c r="G31" s="41">
        <f>SUM(G21:G30)</f>
        <v>0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865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866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872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873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877</v>
      </c>
      <c r="B39" s="6"/>
      <c r="C39" s="24" t="s">
        <v>289</v>
      </c>
      <c r="D39" s="94">
        <f>'DOE25'!G40</f>
        <v>0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0</v>
      </c>
      <c r="G40" s="24" t="s">
        <v>289</v>
      </c>
      <c r="H40" s="123"/>
      <c r="I40" s="123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878</v>
      </c>
      <c r="B42" s="6">
        <v>754</v>
      </c>
      <c r="C42" s="94">
        <f>'DOE25'!F43</f>
        <v>0</v>
      </c>
      <c r="D42" s="94" t="b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879</v>
      </c>
      <c r="B43" s="6">
        <v>755</v>
      </c>
      <c r="C43" s="94">
        <f>'DOE25'!F44</f>
        <v>43350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880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1" t="s">
        <v>881</v>
      </c>
      <c r="B46" s="6">
        <v>760</v>
      </c>
      <c r="C46" s="94">
        <f>'DOE25'!F47</f>
        <v>0</v>
      </c>
      <c r="D46" s="94">
        <f>'DOE25'!G47</f>
        <v>0</v>
      </c>
      <c r="E46" s="94">
        <f>'DOE25'!H47</f>
        <v>0</v>
      </c>
      <c r="F46" s="94">
        <f>'DOE25'!I47</f>
        <v>0</v>
      </c>
      <c r="G46" s="94">
        <f>'DOE25'!J47</f>
        <v>98572.479999999996</v>
      </c>
      <c r="H46" s="123"/>
      <c r="I46" s="123"/>
    </row>
    <row r="47" spans="1:9" x14ac:dyDescent="0.2">
      <c r="A47" s="1" t="s">
        <v>897</v>
      </c>
      <c r="B47" s="6">
        <v>753</v>
      </c>
      <c r="C47" s="94">
        <f>'DOE25'!F48</f>
        <v>0</v>
      </c>
      <c r="D47" s="94">
        <f>'DOE25'!G48</f>
        <v>5652.2999999999993</v>
      </c>
      <c r="E47" s="94">
        <f>'DOE25'!H48</f>
        <v>0</v>
      </c>
      <c r="F47" s="94">
        <f>'DOE25'!I48</f>
        <v>0</v>
      </c>
      <c r="G47" s="94">
        <f>'DOE25'!J48</f>
        <v>0</v>
      </c>
      <c r="H47" s="123"/>
      <c r="I47" s="123"/>
    </row>
    <row r="48" spans="1:9" ht="12" thickBot="1" x14ac:dyDescent="0.25">
      <c r="A48" s="29" t="s">
        <v>882</v>
      </c>
      <c r="B48" s="70">
        <v>770</v>
      </c>
      <c r="C48" s="94">
        <f>'DOE25'!F49</f>
        <v>244852.01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3"/>
      <c r="I48" s="123"/>
    </row>
    <row r="49" spans="1:9" ht="12.75" thickTop="1" thickBot="1" x14ac:dyDescent="0.25">
      <c r="A49" s="38" t="s">
        <v>883</v>
      </c>
      <c r="B49" s="48"/>
      <c r="C49" s="41">
        <f>SUM(C34:C48)</f>
        <v>288202.01</v>
      </c>
      <c r="D49" s="41">
        <f>SUM(D34:D48)</f>
        <v>5652.2999999999993</v>
      </c>
      <c r="E49" s="41">
        <f>SUM(E34:E48)</f>
        <v>0</v>
      </c>
      <c r="F49" s="41">
        <f>SUM(F34:F48)</f>
        <v>0</v>
      </c>
      <c r="G49" s="41">
        <f>SUM(G34:G48)</f>
        <v>98572.479999999996</v>
      </c>
      <c r="H49" s="123"/>
      <c r="I49" s="123"/>
    </row>
    <row r="50" spans="1:9" ht="12" thickTop="1" x14ac:dyDescent="0.2">
      <c r="A50" s="38" t="s">
        <v>884</v>
      </c>
      <c r="B50" s="2"/>
      <c r="C50" s="41">
        <f>C49+C31</f>
        <v>480705.69999999995</v>
      </c>
      <c r="D50" s="41">
        <f>D49+D31</f>
        <v>60752.58</v>
      </c>
      <c r="E50" s="41">
        <f>E49+E31</f>
        <v>70149.709999999992</v>
      </c>
      <c r="F50" s="41">
        <f>F49+F31</f>
        <v>0</v>
      </c>
      <c r="G50" s="41">
        <f>G49+G31</f>
        <v>98572.479999999996</v>
      </c>
      <c r="H50" s="123"/>
      <c r="I50" s="123"/>
    </row>
    <row r="51" spans="1:9" x14ac:dyDescent="0.2">
      <c r="H51" s="123"/>
      <c r="I51" s="123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6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7" t="s">
        <v>161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4">
        <f>'DOE25'!F59</f>
        <v>3843189</v>
      </c>
      <c r="D55" s="94">
        <f>'DOE25'!G59</f>
        <v>0</v>
      </c>
      <c r="E55" s="94">
        <f>'DOE25'!H59</f>
        <v>0</v>
      </c>
      <c r="F55" s="94">
        <f>'DOE25'!I59</f>
        <v>0</v>
      </c>
      <c r="G55" s="94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4">
        <f>'DOE25'!F78</f>
        <v>0</v>
      </c>
      <c r="D56" s="24" t="s">
        <v>289</v>
      </c>
      <c r="E56" s="94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4">
        <f>'DOE25'!F93</f>
        <v>0</v>
      </c>
      <c r="D57" s="24" t="s">
        <v>289</v>
      </c>
      <c r="E57" s="94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8" t="s">
        <v>168</v>
      </c>
      <c r="B58" s="37" t="s">
        <v>169</v>
      </c>
      <c r="C58" s="94">
        <f>'DOE25'!F95</f>
        <v>228.44</v>
      </c>
      <c r="D58" s="94">
        <f>'DOE25'!G95</f>
        <v>0</v>
      </c>
      <c r="E58" s="94">
        <f>'DOE25'!H95</f>
        <v>0</v>
      </c>
      <c r="F58" s="94">
        <f>'DOE25'!I95</f>
        <v>0</v>
      </c>
      <c r="G58" s="94">
        <f>'DOE25'!J95</f>
        <v>26.06</v>
      </c>
      <c r="H58"/>
      <c r="I58"/>
    </row>
    <row r="59" spans="1:9" x14ac:dyDescent="0.2">
      <c r="A59" s="1" t="s">
        <v>170</v>
      </c>
      <c r="B59" s="117" t="s">
        <v>171</v>
      </c>
      <c r="C59" s="24" t="s">
        <v>289</v>
      </c>
      <c r="D59" s="94">
        <f>'DOE25'!G96</f>
        <v>22558.43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7" t="s">
        <v>173</v>
      </c>
      <c r="C60" s="94">
        <f>SUM('DOE25'!F97:F109)</f>
        <v>6122.17</v>
      </c>
      <c r="D60" s="94">
        <f>SUM('DOE25'!G97:G109)</f>
        <v>0</v>
      </c>
      <c r="E60" s="94">
        <f>SUM('DOE25'!H97:H109)</f>
        <v>0</v>
      </c>
      <c r="F60" s="94">
        <f>SUM('DOE25'!I97:I109)</f>
        <v>0</v>
      </c>
      <c r="G60" s="94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29">
        <f>SUM(C56:C60)</f>
        <v>6350.61</v>
      </c>
      <c r="D61" s="129">
        <f>SUM(D56:D60)</f>
        <v>22558.43</v>
      </c>
      <c r="E61" s="129">
        <f>SUM(E56:E60)</f>
        <v>0</v>
      </c>
      <c r="F61" s="129">
        <f>SUM(F56:F60)</f>
        <v>0</v>
      </c>
      <c r="G61" s="129">
        <f>SUM(G56:G60)</f>
        <v>26.06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3849539.61</v>
      </c>
      <c r="D62" s="22">
        <f>D55+D61</f>
        <v>22558.43</v>
      </c>
      <c r="E62" s="22">
        <f>E55+E61</f>
        <v>0</v>
      </c>
      <c r="F62" s="22">
        <f>F55+F61</f>
        <v>0</v>
      </c>
      <c r="G62" s="22">
        <f>G55+G61</f>
        <v>26.06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4">
        <f>'DOE25'!F116</f>
        <v>539059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4">
        <f>'DOE25'!F117</f>
        <v>621380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4">
        <f>'DOE25'!F119</f>
        <v>0</v>
      </c>
      <c r="D68" s="94">
        <f>'DOE25'!G119</f>
        <v>0</v>
      </c>
      <c r="E68" s="94">
        <f>'DOE25'!H119</f>
        <v>0</v>
      </c>
      <c r="F68" s="94">
        <f>'DOE25'!I119</f>
        <v>0</v>
      </c>
      <c r="G68" s="94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8">
        <f>SUM(C65:C68)</f>
        <v>1160439</v>
      </c>
      <c r="D69" s="138">
        <f>D68</f>
        <v>0</v>
      </c>
      <c r="E69" s="138">
        <f>E68</f>
        <v>0</v>
      </c>
      <c r="F69" s="138">
        <f>F68</f>
        <v>0</v>
      </c>
      <c r="G69" s="138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4">
        <f>'DOE25'!F122</f>
        <v>0</v>
      </c>
      <c r="D71" s="24" t="s">
        <v>289</v>
      </c>
      <c r="E71" s="24" t="s">
        <v>289</v>
      </c>
      <c r="F71" s="94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4">
        <f>'DOE25'!F123</f>
        <v>0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4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4">
        <f>'DOE25'!F125</f>
        <v>6721.81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4">
        <f>SUM('DOE25'!F126:F129)</f>
        <v>0</v>
      </c>
      <c r="D75" s="24" t="s">
        <v>289</v>
      </c>
      <c r="E75" s="94">
        <f>SUM('DOE25'!H126:H129)</f>
        <v>0</v>
      </c>
      <c r="F75" s="94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4">
        <f>SUM('DOE25'!F130:F134)</f>
        <v>0</v>
      </c>
      <c r="D76" s="94">
        <f>SUM('DOE25'!G130:G134)</f>
        <v>663.42</v>
      </c>
      <c r="E76" s="94">
        <f>SUM('DOE25'!H130:H134)</f>
        <v>0</v>
      </c>
      <c r="F76" s="94">
        <f>SUM('DOE25'!I130:I134)</f>
        <v>0</v>
      </c>
      <c r="G76" s="94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29">
        <f>SUM(C71:C76)</f>
        <v>6721.81</v>
      </c>
      <c r="D77" s="129">
        <f>SUM(D71:D76)</f>
        <v>663.42</v>
      </c>
      <c r="E77" s="129">
        <f>SUM(E71:E76)</f>
        <v>0</v>
      </c>
      <c r="F77" s="129">
        <f>SUM(F71:F76)</f>
        <v>0</v>
      </c>
      <c r="G77" s="129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4">
        <f>'DOE25'!F136</f>
        <v>0</v>
      </c>
      <c r="D78" s="94">
        <f>'DOE25'!G136</f>
        <v>0</v>
      </c>
      <c r="E78" s="94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4">
        <f>'DOE25'!F137</f>
        <v>0</v>
      </c>
      <c r="D79" s="24" t="s">
        <v>289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29">
        <f>SUM(C78:C79)+C77+C69</f>
        <v>1167160.81</v>
      </c>
      <c r="D80" s="129">
        <f>SUM(D78:D79)+D77+D69</f>
        <v>663.42</v>
      </c>
      <c r="E80" s="129">
        <f>SUM(E78:E79)+E77+E69</f>
        <v>0</v>
      </c>
      <c r="F80" s="129">
        <f>SUM(F78:F79)+F77+F69</f>
        <v>0</v>
      </c>
      <c r="G80" s="129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6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7" t="s">
        <v>181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4">
        <f>'DOE25'!F146</f>
        <v>0</v>
      </c>
      <c r="D84" s="94">
        <f>'DOE25'!G146</f>
        <v>0</v>
      </c>
      <c r="E84" s="94">
        <f>'DOE25'!H146</f>
        <v>0</v>
      </c>
      <c r="F84" s="94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4">
        <f>SUM('DOE25'!F148:F151)</f>
        <v>0</v>
      </c>
      <c r="D86" s="24" t="s">
        <v>289</v>
      </c>
      <c r="E86" s="94">
        <f>SUM('DOE25'!H148:H151)</f>
        <v>0</v>
      </c>
      <c r="F86" s="94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4">
        <f>SUM('DOE25'!F152:F160)</f>
        <v>20962.310000000001</v>
      </c>
      <c r="D87" s="94">
        <f>SUM('DOE25'!G152:G160)</f>
        <v>19645.169999999998</v>
      </c>
      <c r="E87" s="94">
        <f>SUM('DOE25'!H152:H160)</f>
        <v>49436.11</v>
      </c>
      <c r="F87" s="94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4">
        <f>'DOE25'!F162+'DOE25'!F165+'DOE25'!F167</f>
        <v>0</v>
      </c>
      <c r="D88" s="94">
        <f>'DOE25'!G162+'DOE25'!G167</f>
        <v>0</v>
      </c>
      <c r="E88" s="94">
        <f>'DOE25'!H162+'DOE25'!H167</f>
        <v>0</v>
      </c>
      <c r="F88" s="94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4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0">
        <f>SUM(C84:C89)</f>
        <v>20962.310000000001</v>
      </c>
      <c r="D90" s="130">
        <f>SUM(D84:D89)</f>
        <v>19645.169999999998</v>
      </c>
      <c r="E90" s="130">
        <f>SUM(E84:E89)</f>
        <v>49436.11</v>
      </c>
      <c r="F90" s="130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4">
        <f>SUM('DOE25'!F172:F174)</f>
        <v>0</v>
      </c>
      <c r="D92" s="24" t="s">
        <v>289</v>
      </c>
      <c r="E92" s="24" t="s">
        <v>289</v>
      </c>
      <c r="F92" s="94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4">
        <f>'DOE25'!F175</f>
        <v>0</v>
      </c>
      <c r="D93" s="24" t="s">
        <v>289</v>
      </c>
      <c r="E93" s="24" t="s">
        <v>289</v>
      </c>
      <c r="F93" s="94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4">
        <f>'DOE25'!G178</f>
        <v>10000</v>
      </c>
      <c r="E95" s="94">
        <f>'DOE25'!H178</f>
        <v>0</v>
      </c>
      <c r="F95" s="94">
        <f>'DOE25'!I178</f>
        <v>0</v>
      </c>
      <c r="G95" s="94">
        <f>'DOE25'!J178</f>
        <v>20000</v>
      </c>
    </row>
    <row r="96" spans="1:9" x14ac:dyDescent="0.2">
      <c r="A96" t="s">
        <v>758</v>
      </c>
      <c r="B96" s="32" t="s">
        <v>188</v>
      </c>
      <c r="C96" s="94">
        <f>SUM('DOE25'!F179:F180)</f>
        <v>0</v>
      </c>
      <c r="D96" s="94">
        <f>SUM('DOE25'!G179:G180)</f>
        <v>0</v>
      </c>
      <c r="E96" s="94">
        <f>SUM('DOE25'!H179:H180)</f>
        <v>0</v>
      </c>
      <c r="F96" s="94">
        <f>SUM('DOE25'!I179:I180)</f>
        <v>0</v>
      </c>
      <c r="G96" s="94">
        <f>SUM('DOE25'!J179:J180)</f>
        <v>0</v>
      </c>
    </row>
    <row r="97" spans="1:7" x14ac:dyDescent="0.2">
      <c r="A97" t="s">
        <v>759</v>
      </c>
      <c r="B97" s="32" t="s">
        <v>189</v>
      </c>
      <c r="C97" s="94">
        <f>'DOE25'!F181</f>
        <v>0</v>
      </c>
      <c r="D97" s="94">
        <f>'DOE25'!G181</f>
        <v>0</v>
      </c>
      <c r="E97" s="94">
        <f>'DOE25'!H181</f>
        <v>0</v>
      </c>
      <c r="F97" s="24" t="s">
        <v>289</v>
      </c>
      <c r="G97" s="94">
        <f>'DOE25'!J181</f>
        <v>0</v>
      </c>
    </row>
    <row r="98" spans="1:7" x14ac:dyDescent="0.2">
      <c r="A98" t="s">
        <v>760</v>
      </c>
      <c r="B98" s="32">
        <v>5251</v>
      </c>
      <c r="C98" s="94">
        <f>'DOE25'!F184</f>
        <v>0</v>
      </c>
      <c r="D98" s="94">
        <f>'DOE25'!G184</f>
        <v>0</v>
      </c>
      <c r="E98" s="94">
        <f>'DOE25'!H184</f>
        <v>0</v>
      </c>
      <c r="F98" s="94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4">
        <f>SUM('DOE25'!F185:F186)</f>
        <v>0</v>
      </c>
      <c r="D99" s="94">
        <f>SUM('DOE25'!G185:G186)</f>
        <v>0</v>
      </c>
      <c r="E99" s="94">
        <f>SUM('DOE25'!H185:H186)</f>
        <v>0</v>
      </c>
      <c r="F99" s="94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4">
        <f>'DOE25'!F188</f>
        <v>0</v>
      </c>
      <c r="D100" s="94">
        <f>'DOE25'!G188</f>
        <v>0</v>
      </c>
      <c r="E100" s="94">
        <f>'DOE25'!H188</f>
        <v>0</v>
      </c>
      <c r="F100" s="94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4">
        <f>SUM('DOE25'!F189:F190)</f>
        <v>0</v>
      </c>
      <c r="D101" s="94">
        <f>SUM('DOE25'!G189:G190)</f>
        <v>0</v>
      </c>
      <c r="E101" s="94">
        <f>SUM('DOE25'!H189:H190)</f>
        <v>0</v>
      </c>
      <c r="F101" s="94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5">
        <f>SUM(C92:C101)</f>
        <v>0</v>
      </c>
      <c r="D102" s="85">
        <f>SUM(D92:D101)</f>
        <v>10000</v>
      </c>
      <c r="E102" s="85">
        <f>SUM(E92:E101)</f>
        <v>0</v>
      </c>
      <c r="F102" s="85">
        <f>SUM(F92:F101)</f>
        <v>0</v>
      </c>
      <c r="G102" s="85">
        <f>SUM(G92:G101)</f>
        <v>20000</v>
      </c>
    </row>
    <row r="103" spans="1:7" ht="12.75" thickTop="1" thickBot="1" x14ac:dyDescent="0.25">
      <c r="A103" s="33" t="s">
        <v>765</v>
      </c>
      <c r="C103" s="85">
        <f>C62+C80+C90+C102</f>
        <v>5037662.7299999995</v>
      </c>
      <c r="D103" s="85">
        <f>D62+D80+D90+D102</f>
        <v>52867.02</v>
      </c>
      <c r="E103" s="85">
        <f>E62+E80+E90+E102</f>
        <v>49436.11</v>
      </c>
      <c r="F103" s="85">
        <f>F62+F80+F90+F102</f>
        <v>0</v>
      </c>
      <c r="G103" s="85">
        <f>G62+G80+G102</f>
        <v>20026.060000000001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6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7" t="s">
        <v>195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4">
        <f>('DOE25'!L196)+('DOE25'!L214)+('DOE25'!L232)</f>
        <v>2963562.19</v>
      </c>
      <c r="D108" s="24" t="s">
        <v>289</v>
      </c>
      <c r="E108" s="94">
        <f>('DOE25'!L275)+('DOE25'!L294)+('DOE25'!L313)</f>
        <v>11000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4">
        <f>('DOE25'!L197)+('DOE25'!L215)+('DOE25'!L233)</f>
        <v>689889.96000000008</v>
      </c>
      <c r="D109" s="24" t="s">
        <v>289</v>
      </c>
      <c r="E109" s="94">
        <f>('DOE25'!L276)+('DOE25'!L295)+('DOE25'!L314)</f>
        <v>32096.81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4">
        <f>('DOE25'!L198)+('DOE25'!L216)+('DOE25'!L234)</f>
        <v>0</v>
      </c>
      <c r="D110" s="24" t="s">
        <v>289</v>
      </c>
      <c r="E110" s="94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4">
        <f>('DOE25'!L199)+('DOE25'!L217)+('DOE25'!L235)</f>
        <v>2047.8899999999999</v>
      </c>
      <c r="D111" s="24" t="s">
        <v>289</v>
      </c>
      <c r="E111" s="94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4">
        <f>'DOE25'!L249</f>
        <v>0</v>
      </c>
      <c r="D112" s="24" t="s">
        <v>289</v>
      </c>
      <c r="E112" s="94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4">
        <f>SUM('DOE25'!L250:L252)</f>
        <v>0</v>
      </c>
      <c r="D113" s="24" t="s">
        <v>289</v>
      </c>
      <c r="E113" s="94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5">
        <f>SUM(C108:C113)</f>
        <v>3655500.04</v>
      </c>
      <c r="D114" s="85">
        <f>SUM(D108:D113)</f>
        <v>0</v>
      </c>
      <c r="E114" s="85">
        <f>SUM(E108:E113)</f>
        <v>43096.81</v>
      </c>
      <c r="F114" s="85">
        <f>SUM(F108:F113)</f>
        <v>0</v>
      </c>
      <c r="G114" s="85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4">
        <f>('DOE25'!L201)+('DOE25'!L219)+('DOE25'!L237)</f>
        <v>310368.62</v>
      </c>
      <c r="D117" s="24" t="s">
        <v>289</v>
      </c>
      <c r="E117" s="94">
        <f>+('DOE25'!L280)+('DOE25'!L299)+('DOE25'!L318)</f>
        <v>102.43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4">
        <f>('DOE25'!L202)+('DOE25'!L220)+('DOE25'!L238)</f>
        <v>56322.58</v>
      </c>
      <c r="D118" s="24" t="s">
        <v>289</v>
      </c>
      <c r="E118" s="94">
        <f>+('DOE25'!L281)+('DOE25'!L300)+('DOE25'!L319)</f>
        <v>675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4">
        <f>('DOE25'!L203)+('DOE25'!L221)+('DOE25'!L239)</f>
        <v>215131</v>
      </c>
      <c r="D119" s="24" t="s">
        <v>289</v>
      </c>
      <c r="E119" s="94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4">
        <f>('DOE25'!L204)+('DOE25'!L222)+('DOE25'!L240)</f>
        <v>159115.39000000001</v>
      </c>
      <c r="D120" s="24" t="s">
        <v>289</v>
      </c>
      <c r="E120" s="94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4">
        <f>('DOE25'!L205)+('DOE25'!L223)+('DOE25'!L241)</f>
        <v>0</v>
      </c>
      <c r="D121" s="24" t="s">
        <v>289</v>
      </c>
      <c r="E121" s="94">
        <f>+('DOE25'!L284)+('DOE25'!L303)+('DOE25'!L322)</f>
        <v>5561.87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4">
        <f>('DOE25'!L206)+('DOE25'!L224)+('DOE25'!L242)</f>
        <v>301286.98000000004</v>
      </c>
      <c r="D122" s="24" t="s">
        <v>289</v>
      </c>
      <c r="E122" s="94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4">
        <f>('DOE25'!L207)+('DOE25'!L225)+('DOE25'!L243+'DOE25'!L253)</f>
        <v>206405.11</v>
      </c>
      <c r="D123" s="24" t="s">
        <v>289</v>
      </c>
      <c r="E123" s="94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4">
        <f>('DOE25'!L208)+('DOE25'!L226)+('DOE25'!L244)</f>
        <v>0</v>
      </c>
      <c r="D124" s="24" t="s">
        <v>289</v>
      </c>
      <c r="E124" s="94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4">
        <f>('DOE25'!L357)+('DOE25'!L358)+('DOE25'!L359)</f>
        <v>50623.19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5">
        <f>SUM(C117:C126)</f>
        <v>1248629.6800000002</v>
      </c>
      <c r="D127" s="85">
        <f>SUM(D117:D126)</f>
        <v>50623.19</v>
      </c>
      <c r="E127" s="85">
        <f>SUM(E117:E126)</f>
        <v>6339.3</v>
      </c>
      <c r="F127" s="85">
        <f>SUM(F117:F126)</f>
        <v>0</v>
      </c>
      <c r="G127" s="85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4">
        <f>'DOE25'!L254</f>
        <v>0</v>
      </c>
      <c r="D129" s="24" t="s">
        <v>289</v>
      </c>
      <c r="E129" s="128">
        <f>'DOE25'!L335</f>
        <v>0</v>
      </c>
      <c r="F129" s="128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4">
        <f>'DOE25'!L259</f>
        <v>0</v>
      </c>
      <c r="D130" s="24" t="s">
        <v>289</v>
      </c>
      <c r="E130" s="128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4">
        <f>'DOE25'!L260</f>
        <v>0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4">
        <f>'DOE25'!K360</f>
        <v>0</v>
      </c>
      <c r="E133" s="94">
        <f>'DOE25'!L343</f>
        <v>0</v>
      </c>
      <c r="F133" s="94">
        <f>'DOE25'!K380</f>
        <v>0</v>
      </c>
      <c r="G133" s="94">
        <f>'DOE25'!K433</f>
        <v>0</v>
      </c>
    </row>
    <row r="134" spans="1:7" x14ac:dyDescent="0.2">
      <c r="A134" t="s">
        <v>233</v>
      </c>
      <c r="B134" s="32" t="s">
        <v>234</v>
      </c>
      <c r="C134" s="94">
        <f>'DOE25'!L262</f>
        <v>10000</v>
      </c>
      <c r="D134" s="24" t="s">
        <v>289</v>
      </c>
      <c r="E134" s="128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4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4">
        <f>'DOE25'!L264</f>
        <v>0</v>
      </c>
      <c r="D136" s="24" t="s">
        <v>289</v>
      </c>
      <c r="E136" s="128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4">
        <f>'DOE25'!L392</f>
        <v>20026.060000000001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4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4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4">
        <f>('DOE25'!L265+'DOE25'!K346) - (C137+C138+C139)</f>
        <v>-26.06000000000131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8">
        <f>'DOE25'!L267</f>
        <v>0</v>
      </c>
      <c r="D141" s="24" t="s">
        <v>289</v>
      </c>
      <c r="E141" s="128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0">
        <f>SUM(C129:C142)</f>
        <v>30000</v>
      </c>
      <c r="D143" s="140">
        <f>SUM(D129:D142)</f>
        <v>0</v>
      </c>
      <c r="E143" s="140">
        <f>SUM(E129:E142)</f>
        <v>0</v>
      </c>
      <c r="F143" s="140">
        <f>SUM(F129:F142)</f>
        <v>0</v>
      </c>
      <c r="G143" s="140">
        <f>SUM(G129:G142)</f>
        <v>0</v>
      </c>
    </row>
    <row r="144" spans="1:7" ht="12.75" thickTop="1" thickBot="1" x14ac:dyDescent="0.25">
      <c r="A144" s="33" t="s">
        <v>244</v>
      </c>
      <c r="C144" s="85">
        <f>(C114+C127+C143)</f>
        <v>4934129.7200000007</v>
      </c>
      <c r="D144" s="85">
        <f>(D114+D127+D143)</f>
        <v>50623.19</v>
      </c>
      <c r="E144" s="85">
        <f>(E114+E127+E143)</f>
        <v>49436.11</v>
      </c>
      <c r="F144" s="85">
        <f>(F114+F127+F143)</f>
        <v>0</v>
      </c>
      <c r="G144" s="85">
        <f>(G114+G127+G143)</f>
        <v>0</v>
      </c>
    </row>
    <row r="145" spans="1:9" ht="12" thickTop="1" x14ac:dyDescent="0.2">
      <c r="A145" s="33"/>
    </row>
    <row r="147" spans="1:9" x14ac:dyDescent="0.2">
      <c r="A147" s="134" t="s">
        <v>245</v>
      </c>
      <c r="B147" s="131"/>
      <c r="C147" s="114"/>
      <c r="D147" s="115"/>
      <c r="E147" s="115"/>
      <c r="F147" s="115"/>
      <c r="G147" s="115"/>
    </row>
    <row r="148" spans="1:9" x14ac:dyDescent="0.2">
      <c r="A148" s="135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5"/>
      <c r="I148" s="115"/>
    </row>
    <row r="149" spans="1:9" x14ac:dyDescent="0.2">
      <c r="A149" s="134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5" t="s">
        <v>27</v>
      </c>
      <c r="B150" s="151">
        <f>'DOE25'!F489</f>
        <v>0</v>
      </c>
      <c r="C150" s="151">
        <f>'DOE25'!G489</f>
        <v>0</v>
      </c>
      <c r="D150" s="151">
        <f>'DOE25'!H489</f>
        <v>0</v>
      </c>
      <c r="E150" s="151">
        <f>'DOE25'!I489</f>
        <v>0</v>
      </c>
      <c r="F150" s="151">
        <f>'DOE25'!J489</f>
        <v>0</v>
      </c>
      <c r="G150" s="24" t="s">
        <v>289</v>
      </c>
    </row>
    <row r="151" spans="1:9" x14ac:dyDescent="0.2">
      <c r="A151" s="135" t="s">
        <v>28</v>
      </c>
      <c r="B151" s="150">
        <f>'DOE25'!F490</f>
        <v>0</v>
      </c>
      <c r="C151" s="150">
        <f>'DOE25'!G490</f>
        <v>0</v>
      </c>
      <c r="D151" s="150">
        <f>'DOE25'!H490</f>
        <v>0</v>
      </c>
      <c r="E151" s="150">
        <f>'DOE25'!I490</f>
        <v>0</v>
      </c>
      <c r="F151" s="150">
        <f>'DOE25'!J490</f>
        <v>0</v>
      </c>
      <c r="G151" s="24" t="s">
        <v>289</v>
      </c>
    </row>
    <row r="152" spans="1:9" x14ac:dyDescent="0.2">
      <c r="A152" s="135" t="s">
        <v>29</v>
      </c>
      <c r="B152" s="150">
        <f>'DOE25'!F491</f>
        <v>0</v>
      </c>
      <c r="C152" s="150">
        <f>'DOE25'!G491</f>
        <v>0</v>
      </c>
      <c r="D152" s="150">
        <f>'DOE25'!H491</f>
        <v>0</v>
      </c>
      <c r="E152" s="150">
        <f>'DOE25'!I491</f>
        <v>0</v>
      </c>
      <c r="F152" s="150">
        <f>'DOE25'!J491</f>
        <v>0</v>
      </c>
      <c r="G152" s="24" t="s">
        <v>289</v>
      </c>
    </row>
    <row r="153" spans="1:9" x14ac:dyDescent="0.2">
      <c r="A153" s="135" t="s">
        <v>30</v>
      </c>
      <c r="B153" s="136">
        <f>'DOE25'!F492</f>
        <v>0</v>
      </c>
      <c r="C153" s="136">
        <f>'DOE25'!G492</f>
        <v>0</v>
      </c>
      <c r="D153" s="136">
        <f>'DOE25'!H492</f>
        <v>0</v>
      </c>
      <c r="E153" s="136">
        <f>'DOE25'!I492</f>
        <v>0</v>
      </c>
      <c r="F153" s="136">
        <f>'DOE25'!J492</f>
        <v>0</v>
      </c>
      <c r="G153" s="24" t="s">
        <v>289</v>
      </c>
    </row>
    <row r="154" spans="1:9" x14ac:dyDescent="0.2">
      <c r="A154" s="135" t="s">
        <v>31</v>
      </c>
      <c r="B154" s="136">
        <f>'DOE25'!F493</f>
        <v>0</v>
      </c>
      <c r="C154" s="136">
        <f>'DOE25'!G493</f>
        <v>0</v>
      </c>
      <c r="D154" s="136">
        <f>'DOE25'!H493</f>
        <v>0</v>
      </c>
      <c r="E154" s="136">
        <f>'DOE25'!I493</f>
        <v>0</v>
      </c>
      <c r="F154" s="136">
        <f>'DOE25'!J493</f>
        <v>0</v>
      </c>
      <c r="G154" s="24" t="s">
        <v>289</v>
      </c>
    </row>
    <row r="155" spans="1:9" x14ac:dyDescent="0.2">
      <c r="A155" s="22" t="s">
        <v>32</v>
      </c>
      <c r="B155" s="136">
        <f>'DOE25'!F494</f>
        <v>0</v>
      </c>
      <c r="C155" s="136">
        <f>'DOE25'!G494</f>
        <v>0</v>
      </c>
      <c r="D155" s="136">
        <f>'DOE25'!H494</f>
        <v>0</v>
      </c>
      <c r="E155" s="136">
        <f>'DOE25'!I494</f>
        <v>0</v>
      </c>
      <c r="F155" s="136">
        <f>'DOE25'!J494</f>
        <v>0</v>
      </c>
      <c r="G155" s="137">
        <f>SUM(B155:F155)</f>
        <v>0</v>
      </c>
    </row>
    <row r="156" spans="1:9" x14ac:dyDescent="0.2">
      <c r="A156" s="22" t="s">
        <v>33</v>
      </c>
      <c r="B156" s="136">
        <f>'DOE25'!F495</f>
        <v>0</v>
      </c>
      <c r="C156" s="136">
        <f>'DOE25'!G495</f>
        <v>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 t="shared" ref="G156:G163" si="0">SUM(B156:F156)</f>
        <v>0</v>
      </c>
    </row>
    <row r="157" spans="1:9" x14ac:dyDescent="0.2">
      <c r="A157" s="22" t="s">
        <v>34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si="0"/>
        <v>0</v>
      </c>
    </row>
    <row r="158" spans="1:9" x14ac:dyDescent="0.2">
      <c r="A158" s="22" t="s">
        <v>35</v>
      </c>
      <c r="B158" s="136">
        <f>'DOE25'!F497</f>
        <v>0</v>
      </c>
      <c r="C158" s="136">
        <f>'DOE25'!G497</f>
        <v>0</v>
      </c>
      <c r="D158" s="136">
        <f>'DOE25'!H497</f>
        <v>0</v>
      </c>
      <c r="E158" s="136">
        <f>'DOE25'!I497</f>
        <v>0</v>
      </c>
      <c r="F158" s="136">
        <f>'DOE25'!J497</f>
        <v>0</v>
      </c>
      <c r="G158" s="137">
        <f t="shared" si="0"/>
        <v>0</v>
      </c>
    </row>
    <row r="159" spans="1:9" x14ac:dyDescent="0.2">
      <c r="A159" s="22" t="s">
        <v>36</v>
      </c>
      <c r="B159" s="136">
        <f>'DOE25'!F498</f>
        <v>0</v>
      </c>
      <c r="C159" s="136">
        <f>'DOE25'!G498</f>
        <v>0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0</v>
      </c>
    </row>
    <row r="160" spans="1:9" x14ac:dyDescent="0.2">
      <c r="A160" s="22" t="s">
        <v>37</v>
      </c>
      <c r="B160" s="136">
        <f>'DOE25'!F499</f>
        <v>0</v>
      </c>
      <c r="C160" s="136">
        <f>'DOE25'!G499</f>
        <v>0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0</v>
      </c>
    </row>
    <row r="161" spans="1:7" x14ac:dyDescent="0.2">
      <c r="A161" s="22" t="s">
        <v>38</v>
      </c>
      <c r="B161" s="136">
        <f>'DOE25'!F500</f>
        <v>0</v>
      </c>
      <c r="C161" s="136">
        <f>'DOE25'!G500</f>
        <v>0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0</v>
      </c>
    </row>
    <row r="162" spans="1:7" x14ac:dyDescent="0.2">
      <c r="A162" s="22" t="s">
        <v>39</v>
      </c>
      <c r="B162" s="136">
        <f>'DOE25'!F501</f>
        <v>0</v>
      </c>
      <c r="C162" s="136">
        <f>'DOE25'!G501</f>
        <v>0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0</v>
      </c>
    </row>
    <row r="163" spans="1:7" x14ac:dyDescent="0.2">
      <c r="A163" s="22" t="s">
        <v>246</v>
      </c>
      <c r="B163" s="136">
        <f>'DOE25'!F502</f>
        <v>0</v>
      </c>
      <c r="C163" s="136">
        <f>'DOE25'!G502</f>
        <v>0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5" t="s">
        <v>717</v>
      </c>
      <c r="B2" s="184" t="str">
        <f>'DOE25'!A2</f>
        <v>Rollinsford SD</v>
      </c>
    </row>
    <row r="3" spans="1:4" x14ac:dyDescent="0.2">
      <c r="B3" s="186" t="s">
        <v>904</v>
      </c>
    </row>
    <row r="4" spans="1:4" x14ac:dyDescent="0.2">
      <c r="B4" t="s">
        <v>61</v>
      </c>
      <c r="C4" s="177">
        <f>IF('DOE25'!F664+'DOE25'!F669=0,0,ROUND('DOE25'!F671,0))</f>
        <v>16882</v>
      </c>
    </row>
    <row r="5" spans="1:4" x14ac:dyDescent="0.2">
      <c r="B5" t="s">
        <v>704</v>
      </c>
      <c r="C5" s="177">
        <f>IF('DOE25'!G664+'DOE25'!G669=0,0,ROUND('DOE25'!G671,0))</f>
        <v>0</v>
      </c>
    </row>
    <row r="6" spans="1:4" x14ac:dyDescent="0.2">
      <c r="B6" t="s">
        <v>62</v>
      </c>
      <c r="C6" s="177">
        <f>IF('DOE25'!H664+'DOE25'!H669=0,0,ROUND('DOE25'!H671,0))</f>
        <v>0</v>
      </c>
    </row>
    <row r="7" spans="1:4" x14ac:dyDescent="0.2">
      <c r="B7" t="s">
        <v>705</v>
      </c>
      <c r="C7" s="177">
        <f>IF('DOE25'!I664+'DOE25'!I669=0,0,ROUND('DOE25'!I671,0))</f>
        <v>16882</v>
      </c>
    </row>
    <row r="9" spans="1:4" x14ac:dyDescent="0.2">
      <c r="A9" s="185" t="s">
        <v>94</v>
      </c>
      <c r="B9" s="186" t="s">
        <v>905</v>
      </c>
      <c r="C9" s="179" t="s">
        <v>724</v>
      </c>
      <c r="D9" s="179" t="s">
        <v>725</v>
      </c>
    </row>
    <row r="10" spans="1:4" x14ac:dyDescent="0.2">
      <c r="A10">
        <v>1100</v>
      </c>
      <c r="B10" t="s">
        <v>706</v>
      </c>
      <c r="C10" s="177">
        <f>ROUND('DOE25'!L196+'DOE25'!L214+'DOE25'!L232+'DOE25'!L275+'DOE25'!L294+'DOE25'!L313,0)</f>
        <v>2974562</v>
      </c>
      <c r="D10" s="180">
        <f>ROUND((C10/$C$28)*100,1)</f>
        <v>59.7</v>
      </c>
    </row>
    <row r="11" spans="1:4" x14ac:dyDescent="0.2">
      <c r="A11">
        <v>1200</v>
      </c>
      <c r="B11" t="s">
        <v>707</v>
      </c>
      <c r="C11" s="177">
        <f>ROUND('DOE25'!L197+'DOE25'!L215+'DOE25'!L233+'DOE25'!L276+'DOE25'!L295+'DOE25'!L314,0)</f>
        <v>721987</v>
      </c>
      <c r="D11" s="180">
        <f>ROUND((C11/$C$28)*100,1)</f>
        <v>14.5</v>
      </c>
    </row>
    <row r="12" spans="1:4" x14ac:dyDescent="0.2">
      <c r="A12">
        <v>1300</v>
      </c>
      <c r="B12" t="s">
        <v>708</v>
      </c>
      <c r="C12" s="177">
        <f>ROUND('DOE25'!L198+'DOE25'!L216+'DOE25'!L234+'DOE25'!L277+'DOE25'!L296+'DOE25'!L315,0)</f>
        <v>0</v>
      </c>
      <c r="D12" s="180">
        <f>ROUND((C12/$C$28)*100,1)</f>
        <v>0</v>
      </c>
    </row>
    <row r="13" spans="1:4" x14ac:dyDescent="0.2">
      <c r="A13">
        <v>1400</v>
      </c>
      <c r="B13" t="s">
        <v>709</v>
      </c>
      <c r="C13" s="177">
        <f>ROUND('DOE25'!L199+'DOE25'!L217+'DOE25'!L235+'DOE25'!L278+'DOE25'!L297+'DOE25'!L316,0)</f>
        <v>2048</v>
      </c>
      <c r="D13" s="180">
        <f>ROUND((C13/$C$28)*100,1)</f>
        <v>0</v>
      </c>
    </row>
    <row r="14" spans="1:4" x14ac:dyDescent="0.2">
      <c r="D14" s="180"/>
    </row>
    <row r="15" spans="1:4" x14ac:dyDescent="0.2">
      <c r="A15">
        <v>2100</v>
      </c>
      <c r="B15" t="s">
        <v>710</v>
      </c>
      <c r="C15" s="177">
        <f>ROUND('DOE25'!L201+'DOE25'!L219+'DOE25'!L237+'DOE25'!L280+'DOE25'!L299+'DOE25'!L318,0)</f>
        <v>310471</v>
      </c>
      <c r="D15" s="180">
        <f t="shared" ref="D15:D27" si="0">ROUND((C15/$C$28)*100,1)</f>
        <v>6.2</v>
      </c>
    </row>
    <row r="16" spans="1:4" x14ac:dyDescent="0.2">
      <c r="A16">
        <v>2200</v>
      </c>
      <c r="B16" t="s">
        <v>711</v>
      </c>
      <c r="C16" s="177">
        <f>ROUND('DOE25'!L202+'DOE25'!L220+'DOE25'!L238+'DOE25'!L281+'DOE25'!L300+'DOE25'!L319,0)</f>
        <v>56998</v>
      </c>
      <c r="D16" s="180">
        <f t="shared" si="0"/>
        <v>1.1000000000000001</v>
      </c>
    </row>
    <row r="17" spans="1:4" x14ac:dyDescent="0.2">
      <c r="A17" s="181" t="s">
        <v>727</v>
      </c>
      <c r="B17" t="s">
        <v>742</v>
      </c>
      <c r="C17" s="177">
        <f>ROUND('DOE25'!L203+'DOE25'!L208+'DOE25'!L221+'DOE25'!L226+'DOE25'!L239+'DOE25'!L244+'DOE25'!L282+'DOE25'!L287+'DOE25'!L301+'DOE25'!L306+'DOE25'!L320+'DOE25'!L325,0)</f>
        <v>215131</v>
      </c>
      <c r="D17" s="180">
        <f t="shared" si="0"/>
        <v>4.3</v>
      </c>
    </row>
    <row r="18" spans="1:4" x14ac:dyDescent="0.2">
      <c r="A18">
        <v>2400</v>
      </c>
      <c r="B18" t="s">
        <v>715</v>
      </c>
      <c r="C18" s="177">
        <f>ROUND('DOE25'!L204+'DOE25'!L222+'DOE25'!L240+'DOE25'!L283+'DOE25'!L302+'DOE25'!L321,0)</f>
        <v>159115</v>
      </c>
      <c r="D18" s="180">
        <f t="shared" si="0"/>
        <v>3.2</v>
      </c>
    </row>
    <row r="19" spans="1:4" x14ac:dyDescent="0.2">
      <c r="A19">
        <v>2500</v>
      </c>
      <c r="B19" t="s">
        <v>712</v>
      </c>
      <c r="C19" s="177">
        <f>ROUND('DOE25'!L205+'DOE25'!L223+'DOE25'!L241+'DOE25'!L284+'DOE25'!L303+'DOE25'!L322,0)</f>
        <v>5562</v>
      </c>
      <c r="D19" s="180">
        <f t="shared" si="0"/>
        <v>0.1</v>
      </c>
    </row>
    <row r="20" spans="1:4" x14ac:dyDescent="0.2">
      <c r="A20">
        <v>2600</v>
      </c>
      <c r="B20" t="s">
        <v>713</v>
      </c>
      <c r="C20" s="177">
        <f>ROUND('DOE25'!L206+'DOE25'!L224+'DOE25'!L242+'DOE25'!L285+'DOE25'!L304+'DOE25'!L323,0)</f>
        <v>301287</v>
      </c>
      <c r="D20" s="180">
        <f t="shared" si="0"/>
        <v>6</v>
      </c>
    </row>
    <row r="21" spans="1:4" x14ac:dyDescent="0.2">
      <c r="A21">
        <v>2700</v>
      </c>
      <c r="B21" t="s">
        <v>714</v>
      </c>
      <c r="C21" s="177">
        <f>ROUND('DOE25'!L207+'DOE25'!L225+'DOE25'!L243+'DOE25'!L286+'DOE25'!L305+'DOE25'!L324,0)</f>
        <v>206405</v>
      </c>
      <c r="D21" s="180">
        <f t="shared" si="0"/>
        <v>4.0999999999999996</v>
      </c>
    </row>
    <row r="22" spans="1:4" x14ac:dyDescent="0.2">
      <c r="A22">
        <v>2900</v>
      </c>
      <c r="B22" t="s">
        <v>716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718</v>
      </c>
      <c r="C23" s="177">
        <f>ROUND('DOE25'!L249+'DOE25'!L331,0)</f>
        <v>0</v>
      </c>
      <c r="D23" s="180">
        <f t="shared" si="0"/>
        <v>0</v>
      </c>
    </row>
    <row r="24" spans="1:4" x14ac:dyDescent="0.2">
      <c r="A24" s="181" t="s">
        <v>726</v>
      </c>
      <c r="B24" t="s">
        <v>719</v>
      </c>
      <c r="C24" s="177">
        <f>ROUND('DOE25'!L250+'DOE25'!L251+'DOE25'!L252+'DOE25'!L253+'DOE25'!L332+'DOE25'!L333+'DOE25'!L334,0)</f>
        <v>0</v>
      </c>
      <c r="D24" s="180">
        <f t="shared" si="0"/>
        <v>0</v>
      </c>
    </row>
    <row r="25" spans="1:4" x14ac:dyDescent="0.2">
      <c r="A25">
        <v>5120</v>
      </c>
      <c r="B25" t="s">
        <v>720</v>
      </c>
      <c r="C25" s="177">
        <f>ROUND('DOE25'!L260+'DOE25'!L341,0)</f>
        <v>0</v>
      </c>
      <c r="D25" s="180">
        <f t="shared" si="0"/>
        <v>0</v>
      </c>
    </row>
    <row r="26" spans="1:4" x14ac:dyDescent="0.2">
      <c r="A26" s="181" t="s">
        <v>721</v>
      </c>
      <c r="B26" t="s">
        <v>722</v>
      </c>
      <c r="C26" s="177">
        <f>'DOE25'!L267+'DOE25'!L268+'DOE25'!L348+'DOE25'!L349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ROUND('DOE25'!L361-'DOE25'!L360,0)-SUM('DOE25'!G96:G109)</f>
        <v>28064.57</v>
      </c>
      <c r="D27" s="180">
        <f t="shared" si="0"/>
        <v>0.6</v>
      </c>
    </row>
    <row r="28" spans="1:4" x14ac:dyDescent="0.2">
      <c r="B28" s="185" t="s">
        <v>723</v>
      </c>
      <c r="C28" s="178">
        <f>SUM(C10:C27)</f>
        <v>4981630.57</v>
      </c>
      <c r="D28" s="182">
        <f>ROUND(SUM(D10:D27),0)</f>
        <v>100</v>
      </c>
    </row>
    <row r="29" spans="1:4" x14ac:dyDescent="0.2">
      <c r="A29">
        <v>4000</v>
      </c>
      <c r="B29" t="s">
        <v>728</v>
      </c>
      <c r="C29" s="177">
        <f>ROUND('DOE25'!L254+'DOE25'!L335+'DOE25'!L373+'DOE25'!L374+'DOE25'!L375+'DOE25'!L376+'DOE25'!L377+'DOE25'!L378+'DOE25'!L379,0)</f>
        <v>0</v>
      </c>
    </row>
    <row r="30" spans="1:4" x14ac:dyDescent="0.2">
      <c r="B30" s="185" t="s">
        <v>729</v>
      </c>
      <c r="C30" s="178">
        <f>SUM(C28:C29)</f>
        <v>4981630.57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730</v>
      </c>
      <c r="C32" s="178">
        <f>ROUND('DOE25'!L259+'DOE25'!L340,0)</f>
        <v>0</v>
      </c>
    </row>
    <row r="34" spans="1:4" x14ac:dyDescent="0.2">
      <c r="A34" s="185" t="s">
        <v>94</v>
      </c>
      <c r="B34" s="186" t="s">
        <v>906</v>
      </c>
      <c r="C34" s="179" t="s">
        <v>724</v>
      </c>
      <c r="D34" s="179" t="s">
        <v>725</v>
      </c>
    </row>
    <row r="35" spans="1:4" x14ac:dyDescent="0.2">
      <c r="A35">
        <v>1100</v>
      </c>
      <c r="B35" s="183" t="s">
        <v>731</v>
      </c>
      <c r="C35" s="177">
        <f>ROUND('DOE25'!F59+'DOE25'!G59+'DOE25'!H59+'DOE25'!I59+'DOE25'!J59,0)</f>
        <v>3843189</v>
      </c>
      <c r="D35" s="180">
        <f t="shared" ref="D35:D40" si="1">ROUND((C35/$C$41)*100,1)</f>
        <v>75.2</v>
      </c>
    </row>
    <row r="36" spans="1:4" x14ac:dyDescent="0.2">
      <c r="B36" s="183" t="s">
        <v>743</v>
      </c>
      <c r="C36" s="177">
        <f>SUM('DOE25'!F111:J111)-SUM('DOE25'!G96:G109)+('DOE25'!F173+'DOE25'!F174+'DOE25'!I173+'DOE25'!I174)-C35</f>
        <v>6376.6699999999255</v>
      </c>
      <c r="D36" s="180">
        <f t="shared" si="1"/>
        <v>0.1</v>
      </c>
    </row>
    <row r="37" spans="1:4" x14ac:dyDescent="0.2">
      <c r="A37" s="181" t="s">
        <v>851</v>
      </c>
      <c r="B37" s="183" t="s">
        <v>732</v>
      </c>
      <c r="C37" s="177">
        <f>ROUND('DOE25'!F116+'DOE25'!F117,0)</f>
        <v>1160439</v>
      </c>
      <c r="D37" s="180">
        <f t="shared" si="1"/>
        <v>22.7</v>
      </c>
    </row>
    <row r="38" spans="1:4" x14ac:dyDescent="0.2">
      <c r="A38" s="181" t="s">
        <v>738</v>
      </c>
      <c r="B38" s="183" t="s">
        <v>733</v>
      </c>
      <c r="C38" s="177">
        <f>ROUND(SUM('DOE25'!F139:J139)-SUM('DOE25'!F116:F118),0)</f>
        <v>7385</v>
      </c>
      <c r="D38" s="180">
        <f t="shared" si="1"/>
        <v>0.1</v>
      </c>
    </row>
    <row r="39" spans="1:4" x14ac:dyDescent="0.2">
      <c r="A39">
        <v>4000</v>
      </c>
      <c r="B39" s="183" t="s">
        <v>734</v>
      </c>
      <c r="C39" s="177">
        <f>ROUND('DOE25'!F168+'DOE25'!G168+'DOE25'!H168+'DOE25'!I168,0)</f>
        <v>90044</v>
      </c>
      <c r="D39" s="180">
        <f t="shared" si="1"/>
        <v>1.8</v>
      </c>
    </row>
    <row r="40" spans="1:4" x14ac:dyDescent="0.2">
      <c r="A40" s="181" t="s">
        <v>739</v>
      </c>
      <c r="B40" s="183" t="s">
        <v>735</v>
      </c>
      <c r="C40" s="177">
        <f>ROUND(SUM('DOE25'!F188:F190)+SUM('DOE25'!G188:G190)+SUM('DOE25'!H188:H190)+SUM('DOE25'!I188:I190),0)</f>
        <v>0</v>
      </c>
      <c r="D40" s="180">
        <f t="shared" si="1"/>
        <v>0</v>
      </c>
    </row>
    <row r="41" spans="1:4" x14ac:dyDescent="0.2">
      <c r="B41" s="185" t="s">
        <v>736</v>
      </c>
      <c r="C41" s="178">
        <f>SUM(C35:C40)</f>
        <v>5107433.67</v>
      </c>
      <c r="D41" s="182">
        <f>SUM(D35:D40)</f>
        <v>99.899999999999991</v>
      </c>
    </row>
    <row r="42" spans="1:4" x14ac:dyDescent="0.2">
      <c r="A42" s="181" t="s">
        <v>741</v>
      </c>
      <c r="B42" s="183" t="s">
        <v>737</v>
      </c>
      <c r="C42" s="177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770</v>
      </c>
      <c r="B1" s="291"/>
      <c r="C1" s="291"/>
      <c r="D1" s="291"/>
      <c r="E1" s="291"/>
      <c r="F1" s="291"/>
      <c r="G1" s="291"/>
      <c r="H1" s="291"/>
      <c r="I1" s="291"/>
      <c r="J1" s="210"/>
      <c r="K1" s="210"/>
      <c r="L1" s="210"/>
      <c r="M1" s="211"/>
    </row>
    <row r="2" spans="1:26" ht="12.75" x14ac:dyDescent="0.2">
      <c r="A2" s="296" t="s">
        <v>767</v>
      </c>
      <c r="B2" s="297"/>
      <c r="C2" s="297"/>
      <c r="D2" s="297"/>
      <c r="E2" s="297"/>
      <c r="F2" s="294" t="str">
        <f>'DOE25'!A2</f>
        <v>Rollinsford SD</v>
      </c>
      <c r="G2" s="295"/>
      <c r="H2" s="295"/>
      <c r="I2" s="295"/>
      <c r="J2" s="52"/>
      <c r="K2" s="52"/>
      <c r="L2" s="52"/>
      <c r="M2" s="212"/>
    </row>
    <row r="3" spans="1:26" x14ac:dyDescent="0.2">
      <c r="A3" s="213" t="s">
        <v>768</v>
      </c>
      <c r="B3" s="214" t="s">
        <v>769</v>
      </c>
      <c r="C3" s="292" t="s">
        <v>771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5"/>
      <c r="B4" s="216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5"/>
      <c r="B5" s="216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5"/>
      <c r="B6" s="216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5"/>
      <c r="B7" s="216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5"/>
      <c r="B8" s="216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5"/>
      <c r="B9" s="216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5"/>
      <c r="B10" s="216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5"/>
      <c r="B11" s="216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5"/>
      <c r="B12" s="216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5"/>
      <c r="B13" s="216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5"/>
      <c r="B14" s="216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5"/>
      <c r="B15" s="216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5"/>
      <c r="B16" s="216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5"/>
      <c r="B17" s="216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5"/>
      <c r="B18" s="216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5"/>
      <c r="B19" s="216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5"/>
      <c r="B20" s="216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5"/>
      <c r="B21" s="216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5"/>
      <c r="B22" s="216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5"/>
      <c r="B23" s="216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5"/>
      <c r="B24" s="216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5"/>
      <c r="B25" s="216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5"/>
      <c r="B26" s="216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5"/>
      <c r="B27" s="216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5"/>
      <c r="B28" s="216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5"/>
      <c r="B29" s="216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08"/>
      <c r="O29" s="208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4"/>
      <c r="AB29" s="204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4"/>
      <c r="AO29" s="204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4"/>
      <c r="BB29" s="204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4"/>
      <c r="BO29" s="204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4"/>
      <c r="CB29" s="204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4"/>
      <c r="CO29" s="204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4"/>
      <c r="DB29" s="204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4"/>
      <c r="DO29" s="204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4"/>
      <c r="EB29" s="204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4"/>
      <c r="EO29" s="204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4"/>
      <c r="FB29" s="204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4"/>
      <c r="FO29" s="204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4"/>
      <c r="GB29" s="204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4"/>
      <c r="GO29" s="204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4"/>
      <c r="HB29" s="204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4"/>
      <c r="HO29" s="204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4"/>
      <c r="IB29" s="204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4"/>
      <c r="IO29" s="204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5"/>
      <c r="B30" s="216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08"/>
      <c r="O30" s="208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4"/>
      <c r="AB30" s="204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4"/>
      <c r="AO30" s="204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4"/>
      <c r="BB30" s="204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4"/>
      <c r="BO30" s="204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4"/>
      <c r="CB30" s="204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4"/>
      <c r="CO30" s="204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4"/>
      <c r="DB30" s="204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4"/>
      <c r="DO30" s="204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4"/>
      <c r="EB30" s="204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4"/>
      <c r="EO30" s="204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4"/>
      <c r="FB30" s="204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4"/>
      <c r="FO30" s="204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4"/>
      <c r="GB30" s="204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4"/>
      <c r="GO30" s="204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4"/>
      <c r="HB30" s="204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4"/>
      <c r="HO30" s="204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4"/>
      <c r="IB30" s="204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4"/>
      <c r="IO30" s="204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5"/>
      <c r="B31" s="216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08"/>
      <c r="O31" s="208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4"/>
      <c r="AB31" s="204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4"/>
      <c r="AO31" s="204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4"/>
      <c r="BB31" s="204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4"/>
      <c r="BO31" s="204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4"/>
      <c r="CB31" s="204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4"/>
      <c r="CO31" s="204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4"/>
      <c r="DB31" s="204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4"/>
      <c r="DO31" s="204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4"/>
      <c r="EB31" s="204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4"/>
      <c r="EO31" s="204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4"/>
      <c r="FB31" s="204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4"/>
      <c r="FO31" s="204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4"/>
      <c r="GB31" s="204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4"/>
      <c r="GO31" s="204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4"/>
      <c r="HB31" s="204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4"/>
      <c r="HO31" s="204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4"/>
      <c r="IB31" s="204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4"/>
      <c r="IO31" s="204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5"/>
      <c r="B32" s="216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0"/>
      <c r="O32" s="220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9"/>
      <c r="AA32" s="215"/>
      <c r="AB32" s="216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5"/>
      <c r="AO32" s="216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5"/>
      <c r="BB32" s="216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5"/>
      <c r="BO32" s="216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5"/>
      <c r="CB32" s="216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5"/>
      <c r="CO32" s="216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5"/>
      <c r="DB32" s="216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5"/>
      <c r="DO32" s="216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5"/>
      <c r="EB32" s="216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5"/>
      <c r="EO32" s="216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5"/>
      <c r="FB32" s="216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5"/>
      <c r="FO32" s="216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5"/>
      <c r="GB32" s="216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5"/>
      <c r="GO32" s="216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5"/>
      <c r="HB32" s="216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5"/>
      <c r="HO32" s="216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5"/>
      <c r="IB32" s="216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5"/>
      <c r="IO32" s="216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5"/>
      <c r="B33" s="216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08"/>
      <c r="O33" s="208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04"/>
      <c r="AB33" s="204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4"/>
      <c r="AO33" s="204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  <c r="BA33" s="204"/>
      <c r="BB33" s="204"/>
      <c r="BC33" s="209"/>
      <c r="BD33" s="209"/>
      <c r="BE33" s="209"/>
      <c r="BF33" s="209"/>
      <c r="BG33" s="209"/>
      <c r="BH33" s="209"/>
      <c r="BI33" s="209"/>
      <c r="BJ33" s="209"/>
      <c r="BK33" s="209"/>
      <c r="BL33" s="209"/>
      <c r="BM33" s="209"/>
      <c r="BN33" s="204"/>
      <c r="BO33" s="204"/>
      <c r="BP33" s="209"/>
      <c r="BQ33" s="209"/>
      <c r="BR33" s="209"/>
      <c r="BS33" s="209"/>
      <c r="BT33" s="209"/>
      <c r="BU33" s="209"/>
      <c r="BV33" s="209"/>
      <c r="BW33" s="209"/>
      <c r="BX33" s="209"/>
      <c r="BY33" s="209"/>
      <c r="BZ33" s="209"/>
      <c r="CA33" s="204"/>
      <c r="CB33" s="204"/>
      <c r="CC33" s="209"/>
      <c r="CD33" s="209"/>
      <c r="CE33" s="209"/>
      <c r="CF33" s="209"/>
      <c r="CG33" s="209"/>
      <c r="CH33" s="209"/>
      <c r="CI33" s="209"/>
      <c r="CJ33" s="209"/>
      <c r="CK33" s="209"/>
      <c r="CL33" s="209"/>
      <c r="CM33" s="209"/>
      <c r="CN33" s="204"/>
      <c r="CO33" s="204"/>
      <c r="CP33" s="209"/>
      <c r="CQ33" s="209"/>
      <c r="CR33" s="209"/>
      <c r="CS33" s="209"/>
      <c r="CT33" s="209"/>
      <c r="CU33" s="209"/>
      <c r="CV33" s="209"/>
      <c r="CW33" s="209"/>
      <c r="CX33" s="209"/>
      <c r="CY33" s="209"/>
      <c r="CZ33" s="209"/>
      <c r="DA33" s="204"/>
      <c r="DB33" s="204"/>
      <c r="DC33" s="209"/>
      <c r="DD33" s="209"/>
      <c r="DE33" s="209"/>
      <c r="DF33" s="209"/>
      <c r="DG33" s="209"/>
      <c r="DH33" s="209"/>
      <c r="DI33" s="209"/>
      <c r="DJ33" s="209"/>
      <c r="DK33" s="209"/>
      <c r="DL33" s="209"/>
      <c r="DM33" s="209"/>
      <c r="DN33" s="204"/>
      <c r="DO33" s="204"/>
      <c r="DP33" s="209"/>
      <c r="DQ33" s="209"/>
      <c r="DR33" s="209"/>
      <c r="DS33" s="209"/>
      <c r="DT33" s="209"/>
      <c r="DU33" s="209"/>
      <c r="DV33" s="209"/>
      <c r="DW33" s="209"/>
      <c r="DX33" s="209"/>
      <c r="DY33" s="209"/>
      <c r="DZ33" s="209"/>
      <c r="EA33" s="204"/>
      <c r="EB33" s="204"/>
      <c r="EC33" s="209"/>
      <c r="ED33" s="209"/>
      <c r="EE33" s="209"/>
      <c r="EF33" s="209"/>
      <c r="EG33" s="209"/>
      <c r="EH33" s="209"/>
      <c r="EI33" s="209"/>
      <c r="EJ33" s="209"/>
      <c r="EK33" s="209"/>
      <c r="EL33" s="209"/>
      <c r="EM33" s="209"/>
      <c r="EN33" s="204"/>
      <c r="EO33" s="204"/>
      <c r="EP33" s="209"/>
      <c r="EQ33" s="209"/>
      <c r="ER33" s="209"/>
      <c r="ES33" s="209"/>
      <c r="ET33" s="209"/>
      <c r="EU33" s="209"/>
      <c r="EV33" s="209"/>
      <c r="EW33" s="209"/>
      <c r="EX33" s="209"/>
      <c r="EY33" s="209"/>
      <c r="EZ33" s="209"/>
      <c r="FA33" s="204"/>
      <c r="FB33" s="204"/>
      <c r="FC33" s="209"/>
      <c r="FD33" s="209"/>
      <c r="FE33" s="209"/>
      <c r="FF33" s="209"/>
      <c r="FG33" s="209"/>
      <c r="FH33" s="209"/>
      <c r="FI33" s="209"/>
      <c r="FJ33" s="209"/>
      <c r="FK33" s="209"/>
      <c r="FL33" s="209"/>
      <c r="FM33" s="209"/>
      <c r="FN33" s="204"/>
      <c r="FO33" s="204"/>
      <c r="FP33" s="209"/>
      <c r="FQ33" s="209"/>
      <c r="FR33" s="209"/>
      <c r="FS33" s="209"/>
      <c r="FT33" s="209"/>
      <c r="FU33" s="209"/>
      <c r="FV33" s="209"/>
      <c r="FW33" s="209"/>
      <c r="FX33" s="209"/>
      <c r="FY33" s="209"/>
      <c r="FZ33" s="209"/>
      <c r="GA33" s="204"/>
      <c r="GB33" s="204"/>
      <c r="GC33" s="209"/>
      <c r="GD33" s="209"/>
      <c r="GE33" s="209"/>
      <c r="GF33" s="209"/>
      <c r="GG33" s="209"/>
      <c r="GH33" s="209"/>
      <c r="GI33" s="209"/>
      <c r="GJ33" s="209"/>
      <c r="GK33" s="209"/>
      <c r="GL33" s="209"/>
      <c r="GM33" s="209"/>
      <c r="GN33" s="204"/>
      <c r="GO33" s="204"/>
      <c r="GP33" s="209"/>
      <c r="GQ33" s="209"/>
      <c r="GR33" s="209"/>
      <c r="GS33" s="209"/>
      <c r="GT33" s="209"/>
      <c r="GU33" s="209"/>
      <c r="GV33" s="209"/>
      <c r="GW33" s="209"/>
      <c r="GX33" s="209"/>
      <c r="GY33" s="209"/>
      <c r="GZ33" s="209"/>
      <c r="HA33" s="204"/>
      <c r="HB33" s="204"/>
      <c r="HC33" s="209"/>
      <c r="HD33" s="209"/>
      <c r="HE33" s="209"/>
      <c r="HF33" s="209"/>
      <c r="HG33" s="209"/>
      <c r="HH33" s="209"/>
      <c r="HI33" s="209"/>
      <c r="HJ33" s="209"/>
      <c r="HK33" s="209"/>
      <c r="HL33" s="209"/>
      <c r="HM33" s="209"/>
      <c r="HN33" s="204"/>
      <c r="HO33" s="204"/>
      <c r="HP33" s="209"/>
      <c r="HQ33" s="209"/>
      <c r="HR33" s="209"/>
      <c r="HS33" s="209"/>
      <c r="HT33" s="209"/>
      <c r="HU33" s="209"/>
      <c r="HV33" s="209"/>
      <c r="HW33" s="209"/>
      <c r="HX33" s="209"/>
      <c r="HY33" s="209"/>
      <c r="HZ33" s="209"/>
      <c r="IA33" s="204"/>
      <c r="IB33" s="204"/>
      <c r="IC33" s="209"/>
      <c r="ID33" s="209"/>
      <c r="IE33" s="209"/>
      <c r="IF33" s="209"/>
      <c r="IG33" s="209"/>
      <c r="IH33" s="209"/>
      <c r="II33" s="209"/>
      <c r="IJ33" s="209"/>
      <c r="IK33" s="209"/>
      <c r="IL33" s="209"/>
      <c r="IM33" s="209"/>
      <c r="IN33" s="204"/>
      <c r="IO33" s="204"/>
      <c r="IP33" s="209"/>
      <c r="IQ33" s="209"/>
      <c r="IR33" s="209"/>
      <c r="IS33" s="209"/>
      <c r="IT33" s="209"/>
      <c r="IU33" s="209"/>
      <c r="IV33" s="209"/>
    </row>
    <row r="34" spans="1:256" x14ac:dyDescent="0.2">
      <c r="A34" s="215"/>
      <c r="B34" s="216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08"/>
      <c r="O34" s="208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04"/>
      <c r="AB34" s="204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4"/>
      <c r="AO34" s="204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  <c r="BA34" s="204"/>
      <c r="BB34" s="204"/>
      <c r="BC34" s="209"/>
      <c r="BD34" s="209"/>
      <c r="BE34" s="209"/>
      <c r="BF34" s="209"/>
      <c r="BG34" s="209"/>
      <c r="BH34" s="209"/>
      <c r="BI34" s="209"/>
      <c r="BJ34" s="209"/>
      <c r="BK34" s="209"/>
      <c r="BL34" s="209"/>
      <c r="BM34" s="209"/>
      <c r="BN34" s="204"/>
      <c r="BO34" s="204"/>
      <c r="BP34" s="209"/>
      <c r="BQ34" s="209"/>
      <c r="BR34" s="209"/>
      <c r="BS34" s="209"/>
      <c r="BT34" s="209"/>
      <c r="BU34" s="209"/>
      <c r="BV34" s="209"/>
      <c r="BW34" s="209"/>
      <c r="BX34" s="209"/>
      <c r="BY34" s="209"/>
      <c r="BZ34" s="209"/>
      <c r="CA34" s="204"/>
      <c r="CB34" s="204"/>
      <c r="CC34" s="209"/>
      <c r="CD34" s="209"/>
      <c r="CE34" s="209"/>
      <c r="CF34" s="209"/>
      <c r="CG34" s="209"/>
      <c r="CH34" s="209"/>
      <c r="CI34" s="209"/>
      <c r="CJ34" s="209"/>
      <c r="CK34" s="209"/>
      <c r="CL34" s="209"/>
      <c r="CM34" s="209"/>
      <c r="CN34" s="204"/>
      <c r="CO34" s="204"/>
      <c r="CP34" s="209"/>
      <c r="CQ34" s="209"/>
      <c r="CR34" s="209"/>
      <c r="CS34" s="209"/>
      <c r="CT34" s="209"/>
      <c r="CU34" s="209"/>
      <c r="CV34" s="209"/>
      <c r="CW34" s="209"/>
      <c r="CX34" s="209"/>
      <c r="CY34" s="209"/>
      <c r="CZ34" s="209"/>
      <c r="DA34" s="204"/>
      <c r="DB34" s="204"/>
      <c r="DC34" s="209"/>
      <c r="DD34" s="209"/>
      <c r="DE34" s="209"/>
      <c r="DF34" s="209"/>
      <c r="DG34" s="209"/>
      <c r="DH34" s="209"/>
      <c r="DI34" s="209"/>
      <c r="DJ34" s="209"/>
      <c r="DK34" s="209"/>
      <c r="DL34" s="209"/>
      <c r="DM34" s="209"/>
      <c r="DN34" s="204"/>
      <c r="DO34" s="204"/>
      <c r="DP34" s="209"/>
      <c r="DQ34" s="209"/>
      <c r="DR34" s="209"/>
      <c r="DS34" s="209"/>
      <c r="DT34" s="209"/>
      <c r="DU34" s="209"/>
      <c r="DV34" s="209"/>
      <c r="DW34" s="209"/>
      <c r="DX34" s="209"/>
      <c r="DY34" s="209"/>
      <c r="DZ34" s="209"/>
      <c r="EA34" s="204"/>
      <c r="EB34" s="204"/>
      <c r="EC34" s="209"/>
      <c r="ED34" s="209"/>
      <c r="EE34" s="209"/>
      <c r="EF34" s="209"/>
      <c r="EG34" s="209"/>
      <c r="EH34" s="209"/>
      <c r="EI34" s="209"/>
      <c r="EJ34" s="209"/>
      <c r="EK34" s="209"/>
      <c r="EL34" s="209"/>
      <c r="EM34" s="209"/>
      <c r="EN34" s="204"/>
      <c r="EO34" s="204"/>
      <c r="EP34" s="209"/>
      <c r="EQ34" s="209"/>
      <c r="ER34" s="209"/>
      <c r="ES34" s="209"/>
      <c r="ET34" s="209"/>
      <c r="EU34" s="209"/>
      <c r="EV34" s="209"/>
      <c r="EW34" s="209"/>
      <c r="EX34" s="209"/>
      <c r="EY34" s="209"/>
      <c r="EZ34" s="209"/>
      <c r="FA34" s="204"/>
      <c r="FB34" s="204"/>
      <c r="FC34" s="209"/>
      <c r="FD34" s="209"/>
      <c r="FE34" s="209"/>
      <c r="FF34" s="209"/>
      <c r="FG34" s="209"/>
      <c r="FH34" s="209"/>
      <c r="FI34" s="209"/>
      <c r="FJ34" s="209"/>
      <c r="FK34" s="209"/>
      <c r="FL34" s="209"/>
      <c r="FM34" s="209"/>
      <c r="FN34" s="204"/>
      <c r="FO34" s="204"/>
      <c r="FP34" s="209"/>
      <c r="FQ34" s="209"/>
      <c r="FR34" s="209"/>
      <c r="FS34" s="209"/>
      <c r="FT34" s="209"/>
      <c r="FU34" s="209"/>
      <c r="FV34" s="209"/>
      <c r="FW34" s="209"/>
      <c r="FX34" s="209"/>
      <c r="FY34" s="209"/>
      <c r="FZ34" s="209"/>
      <c r="GA34" s="204"/>
      <c r="GB34" s="204"/>
      <c r="GC34" s="209"/>
      <c r="GD34" s="209"/>
      <c r="GE34" s="209"/>
      <c r="GF34" s="209"/>
      <c r="GG34" s="209"/>
      <c r="GH34" s="209"/>
      <c r="GI34" s="209"/>
      <c r="GJ34" s="209"/>
      <c r="GK34" s="209"/>
      <c r="GL34" s="209"/>
      <c r="GM34" s="209"/>
      <c r="GN34" s="204"/>
      <c r="GO34" s="204"/>
      <c r="GP34" s="209"/>
      <c r="GQ34" s="209"/>
      <c r="GR34" s="209"/>
      <c r="GS34" s="209"/>
      <c r="GT34" s="209"/>
      <c r="GU34" s="209"/>
      <c r="GV34" s="209"/>
      <c r="GW34" s="209"/>
      <c r="GX34" s="209"/>
      <c r="GY34" s="209"/>
      <c r="GZ34" s="209"/>
      <c r="HA34" s="204"/>
      <c r="HB34" s="204"/>
      <c r="HC34" s="209"/>
      <c r="HD34" s="209"/>
      <c r="HE34" s="209"/>
      <c r="HF34" s="209"/>
      <c r="HG34" s="209"/>
      <c r="HH34" s="209"/>
      <c r="HI34" s="209"/>
      <c r="HJ34" s="209"/>
      <c r="HK34" s="209"/>
      <c r="HL34" s="209"/>
      <c r="HM34" s="209"/>
      <c r="HN34" s="204"/>
      <c r="HO34" s="204"/>
      <c r="HP34" s="209"/>
      <c r="HQ34" s="209"/>
      <c r="HR34" s="209"/>
      <c r="HS34" s="209"/>
      <c r="HT34" s="209"/>
      <c r="HU34" s="209"/>
      <c r="HV34" s="209"/>
      <c r="HW34" s="209"/>
      <c r="HX34" s="209"/>
      <c r="HY34" s="209"/>
      <c r="HZ34" s="209"/>
      <c r="IA34" s="204"/>
      <c r="IB34" s="204"/>
      <c r="IC34" s="209"/>
      <c r="ID34" s="209"/>
      <c r="IE34" s="209"/>
      <c r="IF34" s="209"/>
      <c r="IG34" s="209"/>
      <c r="IH34" s="209"/>
      <c r="II34" s="209"/>
      <c r="IJ34" s="209"/>
      <c r="IK34" s="209"/>
      <c r="IL34" s="209"/>
      <c r="IM34" s="209"/>
      <c r="IN34" s="204"/>
      <c r="IO34" s="204"/>
      <c r="IP34" s="209"/>
      <c r="IQ34" s="209"/>
      <c r="IR34" s="209"/>
      <c r="IS34" s="209"/>
      <c r="IT34" s="209"/>
      <c r="IU34" s="209"/>
      <c r="IV34" s="209"/>
    </row>
    <row r="35" spans="1:256" x14ac:dyDescent="0.2">
      <c r="A35" s="215"/>
      <c r="B35" s="216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08"/>
      <c r="O35" s="208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04"/>
      <c r="AB35" s="204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4"/>
      <c r="AO35" s="204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  <c r="BA35" s="204"/>
      <c r="BB35" s="204"/>
      <c r="BC35" s="209"/>
      <c r="BD35" s="209"/>
      <c r="BE35" s="209"/>
      <c r="BF35" s="209"/>
      <c r="BG35" s="209"/>
      <c r="BH35" s="209"/>
      <c r="BI35" s="209"/>
      <c r="BJ35" s="209"/>
      <c r="BK35" s="209"/>
      <c r="BL35" s="209"/>
      <c r="BM35" s="209"/>
      <c r="BN35" s="204"/>
      <c r="BO35" s="204"/>
      <c r="BP35" s="209"/>
      <c r="BQ35" s="209"/>
      <c r="BR35" s="209"/>
      <c r="BS35" s="209"/>
      <c r="BT35" s="209"/>
      <c r="BU35" s="209"/>
      <c r="BV35" s="209"/>
      <c r="BW35" s="209"/>
      <c r="BX35" s="209"/>
      <c r="BY35" s="209"/>
      <c r="BZ35" s="209"/>
      <c r="CA35" s="204"/>
      <c r="CB35" s="204"/>
      <c r="CC35" s="209"/>
      <c r="CD35" s="209"/>
      <c r="CE35" s="209"/>
      <c r="CF35" s="209"/>
      <c r="CG35" s="209"/>
      <c r="CH35" s="209"/>
      <c r="CI35" s="209"/>
      <c r="CJ35" s="209"/>
      <c r="CK35" s="209"/>
      <c r="CL35" s="209"/>
      <c r="CM35" s="209"/>
      <c r="CN35" s="204"/>
      <c r="CO35" s="204"/>
      <c r="CP35" s="209"/>
      <c r="CQ35" s="209"/>
      <c r="CR35" s="209"/>
      <c r="CS35" s="209"/>
      <c r="CT35" s="209"/>
      <c r="CU35" s="209"/>
      <c r="CV35" s="209"/>
      <c r="CW35" s="209"/>
      <c r="CX35" s="209"/>
      <c r="CY35" s="209"/>
      <c r="CZ35" s="209"/>
      <c r="DA35" s="204"/>
      <c r="DB35" s="204"/>
      <c r="DC35" s="209"/>
      <c r="DD35" s="209"/>
      <c r="DE35" s="209"/>
      <c r="DF35" s="209"/>
      <c r="DG35" s="209"/>
      <c r="DH35" s="209"/>
      <c r="DI35" s="209"/>
      <c r="DJ35" s="209"/>
      <c r="DK35" s="209"/>
      <c r="DL35" s="209"/>
      <c r="DM35" s="209"/>
      <c r="DN35" s="204"/>
      <c r="DO35" s="204"/>
      <c r="DP35" s="209"/>
      <c r="DQ35" s="209"/>
      <c r="DR35" s="209"/>
      <c r="DS35" s="209"/>
      <c r="DT35" s="209"/>
      <c r="DU35" s="209"/>
      <c r="DV35" s="209"/>
      <c r="DW35" s="209"/>
      <c r="DX35" s="209"/>
      <c r="DY35" s="209"/>
      <c r="DZ35" s="209"/>
      <c r="EA35" s="204"/>
      <c r="EB35" s="204"/>
      <c r="EC35" s="209"/>
      <c r="ED35" s="209"/>
      <c r="EE35" s="209"/>
      <c r="EF35" s="209"/>
      <c r="EG35" s="209"/>
      <c r="EH35" s="209"/>
      <c r="EI35" s="209"/>
      <c r="EJ35" s="209"/>
      <c r="EK35" s="209"/>
      <c r="EL35" s="209"/>
      <c r="EM35" s="209"/>
      <c r="EN35" s="204"/>
      <c r="EO35" s="204"/>
      <c r="EP35" s="209"/>
      <c r="EQ35" s="209"/>
      <c r="ER35" s="209"/>
      <c r="ES35" s="209"/>
      <c r="ET35" s="209"/>
      <c r="EU35" s="209"/>
      <c r="EV35" s="209"/>
      <c r="EW35" s="209"/>
      <c r="EX35" s="209"/>
      <c r="EY35" s="209"/>
      <c r="EZ35" s="209"/>
      <c r="FA35" s="204"/>
      <c r="FB35" s="204"/>
      <c r="FC35" s="209"/>
      <c r="FD35" s="209"/>
      <c r="FE35" s="209"/>
      <c r="FF35" s="209"/>
      <c r="FG35" s="209"/>
      <c r="FH35" s="209"/>
      <c r="FI35" s="209"/>
      <c r="FJ35" s="209"/>
      <c r="FK35" s="209"/>
      <c r="FL35" s="209"/>
      <c r="FM35" s="209"/>
      <c r="FN35" s="204"/>
      <c r="FO35" s="204"/>
      <c r="FP35" s="209"/>
      <c r="FQ35" s="209"/>
      <c r="FR35" s="209"/>
      <c r="FS35" s="209"/>
      <c r="FT35" s="209"/>
      <c r="FU35" s="209"/>
      <c r="FV35" s="209"/>
      <c r="FW35" s="209"/>
      <c r="FX35" s="209"/>
      <c r="FY35" s="209"/>
      <c r="FZ35" s="209"/>
      <c r="GA35" s="204"/>
      <c r="GB35" s="204"/>
      <c r="GC35" s="209"/>
      <c r="GD35" s="209"/>
      <c r="GE35" s="209"/>
      <c r="GF35" s="209"/>
      <c r="GG35" s="209"/>
      <c r="GH35" s="209"/>
      <c r="GI35" s="209"/>
      <c r="GJ35" s="209"/>
      <c r="GK35" s="209"/>
      <c r="GL35" s="209"/>
      <c r="GM35" s="209"/>
      <c r="GN35" s="204"/>
      <c r="GO35" s="204"/>
      <c r="GP35" s="209"/>
      <c r="GQ35" s="209"/>
      <c r="GR35" s="209"/>
      <c r="GS35" s="209"/>
      <c r="GT35" s="209"/>
      <c r="GU35" s="209"/>
      <c r="GV35" s="209"/>
      <c r="GW35" s="209"/>
      <c r="GX35" s="209"/>
      <c r="GY35" s="209"/>
      <c r="GZ35" s="209"/>
      <c r="HA35" s="204"/>
      <c r="HB35" s="204"/>
      <c r="HC35" s="209"/>
      <c r="HD35" s="209"/>
      <c r="HE35" s="209"/>
      <c r="HF35" s="209"/>
      <c r="HG35" s="209"/>
      <c r="HH35" s="209"/>
      <c r="HI35" s="209"/>
      <c r="HJ35" s="209"/>
      <c r="HK35" s="209"/>
      <c r="HL35" s="209"/>
      <c r="HM35" s="209"/>
      <c r="HN35" s="204"/>
      <c r="HO35" s="204"/>
      <c r="HP35" s="209"/>
      <c r="HQ35" s="209"/>
      <c r="HR35" s="209"/>
      <c r="HS35" s="209"/>
      <c r="HT35" s="209"/>
      <c r="HU35" s="209"/>
      <c r="HV35" s="209"/>
      <c r="HW35" s="209"/>
      <c r="HX35" s="209"/>
      <c r="HY35" s="209"/>
      <c r="HZ35" s="209"/>
      <c r="IA35" s="204"/>
      <c r="IB35" s="204"/>
      <c r="IC35" s="209"/>
      <c r="ID35" s="209"/>
      <c r="IE35" s="209"/>
      <c r="IF35" s="209"/>
      <c r="IG35" s="209"/>
      <c r="IH35" s="209"/>
      <c r="II35" s="209"/>
      <c r="IJ35" s="209"/>
      <c r="IK35" s="209"/>
      <c r="IL35" s="209"/>
      <c r="IM35" s="209"/>
      <c r="IN35" s="204"/>
      <c r="IO35" s="204"/>
      <c r="IP35" s="209"/>
      <c r="IQ35" s="209"/>
      <c r="IR35" s="209"/>
      <c r="IS35" s="209"/>
      <c r="IT35" s="209"/>
      <c r="IU35" s="209"/>
      <c r="IV35" s="209"/>
    </row>
    <row r="36" spans="1:256" x14ac:dyDescent="0.2">
      <c r="A36" s="215"/>
      <c r="B36" s="216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08"/>
      <c r="O36" s="208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04"/>
      <c r="AB36" s="204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4"/>
      <c r="AO36" s="204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  <c r="BA36" s="204"/>
      <c r="BB36" s="204"/>
      <c r="BC36" s="209"/>
      <c r="BD36" s="209"/>
      <c r="BE36" s="209"/>
      <c r="BF36" s="209"/>
      <c r="BG36" s="209"/>
      <c r="BH36" s="209"/>
      <c r="BI36" s="209"/>
      <c r="BJ36" s="209"/>
      <c r="BK36" s="209"/>
      <c r="BL36" s="209"/>
      <c r="BM36" s="209"/>
      <c r="BN36" s="204"/>
      <c r="BO36" s="204"/>
      <c r="BP36" s="209"/>
      <c r="BQ36" s="209"/>
      <c r="BR36" s="209"/>
      <c r="BS36" s="209"/>
      <c r="BT36" s="209"/>
      <c r="BU36" s="209"/>
      <c r="BV36" s="209"/>
      <c r="BW36" s="209"/>
      <c r="BX36" s="209"/>
      <c r="BY36" s="209"/>
      <c r="BZ36" s="209"/>
      <c r="CA36" s="204"/>
      <c r="CB36" s="204"/>
      <c r="CC36" s="209"/>
      <c r="CD36" s="209"/>
      <c r="CE36" s="209"/>
      <c r="CF36" s="209"/>
      <c r="CG36" s="209"/>
      <c r="CH36" s="209"/>
      <c r="CI36" s="209"/>
      <c r="CJ36" s="209"/>
      <c r="CK36" s="209"/>
      <c r="CL36" s="209"/>
      <c r="CM36" s="209"/>
      <c r="CN36" s="204"/>
      <c r="CO36" s="204"/>
      <c r="CP36" s="209"/>
      <c r="CQ36" s="209"/>
      <c r="CR36" s="209"/>
      <c r="CS36" s="209"/>
      <c r="CT36" s="209"/>
      <c r="CU36" s="209"/>
      <c r="CV36" s="209"/>
      <c r="CW36" s="209"/>
      <c r="CX36" s="209"/>
      <c r="CY36" s="209"/>
      <c r="CZ36" s="209"/>
      <c r="DA36" s="204"/>
      <c r="DB36" s="204"/>
      <c r="DC36" s="209"/>
      <c r="DD36" s="209"/>
      <c r="DE36" s="209"/>
      <c r="DF36" s="209"/>
      <c r="DG36" s="209"/>
      <c r="DH36" s="209"/>
      <c r="DI36" s="209"/>
      <c r="DJ36" s="209"/>
      <c r="DK36" s="209"/>
      <c r="DL36" s="209"/>
      <c r="DM36" s="209"/>
      <c r="DN36" s="204"/>
      <c r="DO36" s="204"/>
      <c r="DP36" s="209"/>
      <c r="DQ36" s="209"/>
      <c r="DR36" s="209"/>
      <c r="DS36" s="209"/>
      <c r="DT36" s="209"/>
      <c r="DU36" s="209"/>
      <c r="DV36" s="209"/>
      <c r="DW36" s="209"/>
      <c r="DX36" s="209"/>
      <c r="DY36" s="209"/>
      <c r="DZ36" s="209"/>
      <c r="EA36" s="204"/>
      <c r="EB36" s="204"/>
      <c r="EC36" s="209"/>
      <c r="ED36" s="209"/>
      <c r="EE36" s="209"/>
      <c r="EF36" s="209"/>
      <c r="EG36" s="209"/>
      <c r="EH36" s="209"/>
      <c r="EI36" s="209"/>
      <c r="EJ36" s="209"/>
      <c r="EK36" s="209"/>
      <c r="EL36" s="209"/>
      <c r="EM36" s="209"/>
      <c r="EN36" s="204"/>
      <c r="EO36" s="204"/>
      <c r="EP36" s="209"/>
      <c r="EQ36" s="209"/>
      <c r="ER36" s="209"/>
      <c r="ES36" s="209"/>
      <c r="ET36" s="209"/>
      <c r="EU36" s="209"/>
      <c r="EV36" s="209"/>
      <c r="EW36" s="209"/>
      <c r="EX36" s="209"/>
      <c r="EY36" s="209"/>
      <c r="EZ36" s="209"/>
      <c r="FA36" s="204"/>
      <c r="FB36" s="204"/>
      <c r="FC36" s="209"/>
      <c r="FD36" s="209"/>
      <c r="FE36" s="209"/>
      <c r="FF36" s="209"/>
      <c r="FG36" s="209"/>
      <c r="FH36" s="209"/>
      <c r="FI36" s="209"/>
      <c r="FJ36" s="209"/>
      <c r="FK36" s="209"/>
      <c r="FL36" s="209"/>
      <c r="FM36" s="209"/>
      <c r="FN36" s="204"/>
      <c r="FO36" s="204"/>
      <c r="FP36" s="209"/>
      <c r="FQ36" s="209"/>
      <c r="FR36" s="209"/>
      <c r="FS36" s="209"/>
      <c r="FT36" s="209"/>
      <c r="FU36" s="209"/>
      <c r="FV36" s="209"/>
      <c r="FW36" s="209"/>
      <c r="FX36" s="209"/>
      <c r="FY36" s="209"/>
      <c r="FZ36" s="209"/>
      <c r="GA36" s="204"/>
      <c r="GB36" s="204"/>
      <c r="GC36" s="209"/>
      <c r="GD36" s="209"/>
      <c r="GE36" s="209"/>
      <c r="GF36" s="209"/>
      <c r="GG36" s="209"/>
      <c r="GH36" s="209"/>
      <c r="GI36" s="209"/>
      <c r="GJ36" s="209"/>
      <c r="GK36" s="209"/>
      <c r="GL36" s="209"/>
      <c r="GM36" s="209"/>
      <c r="GN36" s="204"/>
      <c r="GO36" s="204"/>
      <c r="GP36" s="209"/>
      <c r="GQ36" s="209"/>
      <c r="GR36" s="209"/>
      <c r="GS36" s="209"/>
      <c r="GT36" s="209"/>
      <c r="GU36" s="209"/>
      <c r="GV36" s="209"/>
      <c r="GW36" s="209"/>
      <c r="GX36" s="209"/>
      <c r="GY36" s="209"/>
      <c r="GZ36" s="209"/>
      <c r="HA36" s="204"/>
      <c r="HB36" s="204"/>
      <c r="HC36" s="209"/>
      <c r="HD36" s="209"/>
      <c r="HE36" s="209"/>
      <c r="HF36" s="209"/>
      <c r="HG36" s="209"/>
      <c r="HH36" s="209"/>
      <c r="HI36" s="209"/>
      <c r="HJ36" s="209"/>
      <c r="HK36" s="209"/>
      <c r="HL36" s="209"/>
      <c r="HM36" s="209"/>
      <c r="HN36" s="204"/>
      <c r="HO36" s="204"/>
      <c r="HP36" s="209"/>
      <c r="HQ36" s="209"/>
      <c r="HR36" s="209"/>
      <c r="HS36" s="209"/>
      <c r="HT36" s="209"/>
      <c r="HU36" s="209"/>
      <c r="HV36" s="209"/>
      <c r="HW36" s="209"/>
      <c r="HX36" s="209"/>
      <c r="HY36" s="209"/>
      <c r="HZ36" s="209"/>
      <c r="IA36" s="204"/>
      <c r="IB36" s="204"/>
      <c r="IC36" s="209"/>
      <c r="ID36" s="209"/>
      <c r="IE36" s="209"/>
      <c r="IF36" s="209"/>
      <c r="IG36" s="209"/>
      <c r="IH36" s="209"/>
      <c r="II36" s="209"/>
      <c r="IJ36" s="209"/>
      <c r="IK36" s="209"/>
      <c r="IL36" s="209"/>
      <c r="IM36" s="209"/>
      <c r="IN36" s="204"/>
      <c r="IO36" s="204"/>
      <c r="IP36" s="209"/>
      <c r="IQ36" s="209"/>
      <c r="IR36" s="209"/>
      <c r="IS36" s="209"/>
      <c r="IT36" s="209"/>
      <c r="IU36" s="209"/>
      <c r="IV36" s="209"/>
    </row>
    <row r="37" spans="1:256" x14ac:dyDescent="0.2">
      <c r="A37" s="215"/>
      <c r="B37" s="216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08"/>
      <c r="O37" s="208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04"/>
      <c r="AB37" s="204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4"/>
      <c r="AO37" s="204"/>
      <c r="AP37" s="209"/>
      <c r="AQ37" s="209"/>
      <c r="AR37" s="209"/>
      <c r="AS37" s="209"/>
      <c r="AT37" s="209"/>
      <c r="AU37" s="209"/>
      <c r="AV37" s="209"/>
      <c r="AW37" s="209"/>
      <c r="AX37" s="209"/>
      <c r="AY37" s="209"/>
      <c r="AZ37" s="209"/>
      <c r="BA37" s="204"/>
      <c r="BB37" s="204"/>
      <c r="BC37" s="209"/>
      <c r="BD37" s="209"/>
      <c r="BE37" s="209"/>
      <c r="BF37" s="209"/>
      <c r="BG37" s="209"/>
      <c r="BH37" s="209"/>
      <c r="BI37" s="209"/>
      <c r="BJ37" s="209"/>
      <c r="BK37" s="209"/>
      <c r="BL37" s="209"/>
      <c r="BM37" s="209"/>
      <c r="BN37" s="204"/>
      <c r="BO37" s="204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209"/>
      <c r="CA37" s="204"/>
      <c r="CB37" s="204"/>
      <c r="CC37" s="209"/>
      <c r="CD37" s="209"/>
      <c r="CE37" s="209"/>
      <c r="CF37" s="209"/>
      <c r="CG37" s="209"/>
      <c r="CH37" s="209"/>
      <c r="CI37" s="209"/>
      <c r="CJ37" s="209"/>
      <c r="CK37" s="209"/>
      <c r="CL37" s="209"/>
      <c r="CM37" s="209"/>
      <c r="CN37" s="204"/>
      <c r="CO37" s="204"/>
      <c r="CP37" s="209"/>
      <c r="CQ37" s="209"/>
      <c r="CR37" s="209"/>
      <c r="CS37" s="209"/>
      <c r="CT37" s="209"/>
      <c r="CU37" s="209"/>
      <c r="CV37" s="209"/>
      <c r="CW37" s="209"/>
      <c r="CX37" s="209"/>
      <c r="CY37" s="209"/>
      <c r="CZ37" s="209"/>
      <c r="DA37" s="204"/>
      <c r="DB37" s="204"/>
      <c r="DC37" s="209"/>
      <c r="DD37" s="209"/>
      <c r="DE37" s="209"/>
      <c r="DF37" s="209"/>
      <c r="DG37" s="209"/>
      <c r="DH37" s="209"/>
      <c r="DI37" s="209"/>
      <c r="DJ37" s="209"/>
      <c r="DK37" s="209"/>
      <c r="DL37" s="209"/>
      <c r="DM37" s="209"/>
      <c r="DN37" s="204"/>
      <c r="DO37" s="204"/>
      <c r="DP37" s="209"/>
      <c r="DQ37" s="209"/>
      <c r="DR37" s="209"/>
      <c r="DS37" s="209"/>
      <c r="DT37" s="209"/>
      <c r="DU37" s="209"/>
      <c r="DV37" s="209"/>
      <c r="DW37" s="209"/>
      <c r="DX37" s="209"/>
      <c r="DY37" s="209"/>
      <c r="DZ37" s="209"/>
      <c r="EA37" s="204"/>
      <c r="EB37" s="204"/>
      <c r="EC37" s="209"/>
      <c r="ED37" s="209"/>
      <c r="EE37" s="209"/>
      <c r="EF37" s="209"/>
      <c r="EG37" s="209"/>
      <c r="EH37" s="209"/>
      <c r="EI37" s="209"/>
      <c r="EJ37" s="209"/>
      <c r="EK37" s="209"/>
      <c r="EL37" s="209"/>
      <c r="EM37" s="209"/>
      <c r="EN37" s="204"/>
      <c r="EO37" s="204"/>
      <c r="EP37" s="209"/>
      <c r="EQ37" s="209"/>
      <c r="ER37" s="209"/>
      <c r="ES37" s="209"/>
      <c r="ET37" s="209"/>
      <c r="EU37" s="209"/>
      <c r="EV37" s="209"/>
      <c r="EW37" s="209"/>
      <c r="EX37" s="209"/>
      <c r="EY37" s="209"/>
      <c r="EZ37" s="209"/>
      <c r="FA37" s="204"/>
      <c r="FB37" s="204"/>
      <c r="FC37" s="209"/>
      <c r="FD37" s="209"/>
      <c r="FE37" s="209"/>
      <c r="FF37" s="209"/>
      <c r="FG37" s="209"/>
      <c r="FH37" s="209"/>
      <c r="FI37" s="209"/>
      <c r="FJ37" s="209"/>
      <c r="FK37" s="209"/>
      <c r="FL37" s="209"/>
      <c r="FM37" s="209"/>
      <c r="FN37" s="204"/>
      <c r="FO37" s="204"/>
      <c r="FP37" s="209"/>
      <c r="FQ37" s="209"/>
      <c r="FR37" s="209"/>
      <c r="FS37" s="209"/>
      <c r="FT37" s="209"/>
      <c r="FU37" s="209"/>
      <c r="FV37" s="209"/>
      <c r="FW37" s="209"/>
      <c r="FX37" s="209"/>
      <c r="FY37" s="209"/>
      <c r="FZ37" s="209"/>
      <c r="GA37" s="204"/>
      <c r="GB37" s="204"/>
      <c r="GC37" s="209"/>
      <c r="GD37" s="209"/>
      <c r="GE37" s="209"/>
      <c r="GF37" s="209"/>
      <c r="GG37" s="209"/>
      <c r="GH37" s="209"/>
      <c r="GI37" s="209"/>
      <c r="GJ37" s="209"/>
      <c r="GK37" s="209"/>
      <c r="GL37" s="209"/>
      <c r="GM37" s="209"/>
      <c r="GN37" s="204"/>
      <c r="GO37" s="204"/>
      <c r="GP37" s="209"/>
      <c r="GQ37" s="209"/>
      <c r="GR37" s="209"/>
      <c r="GS37" s="209"/>
      <c r="GT37" s="209"/>
      <c r="GU37" s="209"/>
      <c r="GV37" s="209"/>
      <c r="GW37" s="209"/>
      <c r="GX37" s="209"/>
      <c r="GY37" s="209"/>
      <c r="GZ37" s="209"/>
      <c r="HA37" s="204"/>
      <c r="HB37" s="204"/>
      <c r="HC37" s="209"/>
      <c r="HD37" s="209"/>
      <c r="HE37" s="209"/>
      <c r="HF37" s="209"/>
      <c r="HG37" s="209"/>
      <c r="HH37" s="209"/>
      <c r="HI37" s="209"/>
      <c r="HJ37" s="209"/>
      <c r="HK37" s="209"/>
      <c r="HL37" s="209"/>
      <c r="HM37" s="209"/>
      <c r="HN37" s="204"/>
      <c r="HO37" s="204"/>
      <c r="HP37" s="209"/>
      <c r="HQ37" s="209"/>
      <c r="HR37" s="209"/>
      <c r="HS37" s="209"/>
      <c r="HT37" s="209"/>
      <c r="HU37" s="209"/>
      <c r="HV37" s="209"/>
      <c r="HW37" s="209"/>
      <c r="HX37" s="209"/>
      <c r="HY37" s="209"/>
      <c r="HZ37" s="209"/>
      <c r="IA37" s="204"/>
      <c r="IB37" s="204"/>
      <c r="IC37" s="209"/>
      <c r="ID37" s="209"/>
      <c r="IE37" s="209"/>
      <c r="IF37" s="209"/>
      <c r="IG37" s="209"/>
      <c r="IH37" s="209"/>
      <c r="II37" s="209"/>
      <c r="IJ37" s="209"/>
      <c r="IK37" s="209"/>
      <c r="IL37" s="209"/>
      <c r="IM37" s="209"/>
      <c r="IN37" s="204"/>
      <c r="IO37" s="204"/>
      <c r="IP37" s="209"/>
      <c r="IQ37" s="209"/>
      <c r="IR37" s="209"/>
      <c r="IS37" s="209"/>
      <c r="IT37" s="209"/>
      <c r="IU37" s="209"/>
      <c r="IV37" s="209"/>
    </row>
    <row r="38" spans="1:256" x14ac:dyDescent="0.2">
      <c r="A38" s="215"/>
      <c r="B38" s="216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08"/>
      <c r="O38" s="208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4"/>
      <c r="AB38" s="204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4"/>
      <c r="AO38" s="204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4"/>
      <c r="BB38" s="204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4"/>
      <c r="BO38" s="204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4"/>
      <c r="CB38" s="204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4"/>
      <c r="CO38" s="204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4"/>
      <c r="DB38" s="204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4"/>
      <c r="DO38" s="204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4"/>
      <c r="EB38" s="204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4"/>
      <c r="EO38" s="204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4"/>
      <c r="FB38" s="204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4"/>
      <c r="FO38" s="204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4"/>
      <c r="GB38" s="204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4"/>
      <c r="GO38" s="204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4"/>
      <c r="HB38" s="204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4"/>
      <c r="HO38" s="204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4"/>
      <c r="IB38" s="204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4"/>
      <c r="IO38" s="204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5"/>
      <c r="B39" s="216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08"/>
      <c r="O39" s="208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4"/>
      <c r="AB39" s="204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4"/>
      <c r="AO39" s="204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4"/>
      <c r="BB39" s="204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4"/>
      <c r="BO39" s="204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4"/>
      <c r="CB39" s="204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4"/>
      <c r="CO39" s="204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4"/>
      <c r="DB39" s="204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4"/>
      <c r="DO39" s="204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4"/>
      <c r="EB39" s="204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4"/>
      <c r="EO39" s="204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4"/>
      <c r="FB39" s="204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4"/>
      <c r="FO39" s="204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4"/>
      <c r="GB39" s="204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4"/>
      <c r="GO39" s="204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4"/>
      <c r="HB39" s="204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4"/>
      <c r="HO39" s="204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4"/>
      <c r="IB39" s="204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4"/>
      <c r="IO39" s="204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5"/>
      <c r="B40" s="216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08"/>
      <c r="O40" s="208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4"/>
      <c r="AB40" s="204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4"/>
      <c r="AO40" s="204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4"/>
      <c r="BB40" s="204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4"/>
      <c r="BO40" s="204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4"/>
      <c r="CB40" s="204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4"/>
      <c r="CO40" s="204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4"/>
      <c r="DB40" s="204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4"/>
      <c r="DO40" s="204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4"/>
      <c r="EB40" s="204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4"/>
      <c r="EO40" s="204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4"/>
      <c r="FB40" s="204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4"/>
      <c r="FO40" s="204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4"/>
      <c r="GB40" s="204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4"/>
      <c r="GO40" s="204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4"/>
      <c r="HB40" s="204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4"/>
      <c r="HO40" s="204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4"/>
      <c r="IB40" s="204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4"/>
      <c r="IO40" s="204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5"/>
      <c r="B41" s="216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08"/>
      <c r="O41" s="208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04"/>
      <c r="AB41" s="204"/>
      <c r="AC41" s="209"/>
      <c r="AD41" s="209"/>
      <c r="AE41" s="209"/>
      <c r="AF41" s="209"/>
      <c r="AG41" s="209"/>
      <c r="AH41" s="209"/>
      <c r="AI41" s="209"/>
      <c r="AJ41" s="209"/>
      <c r="AK41" s="209"/>
      <c r="AL41" s="209"/>
      <c r="AM41" s="209"/>
      <c r="AN41" s="204"/>
      <c r="AO41" s="204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4"/>
      <c r="BB41" s="204"/>
      <c r="BC41" s="209"/>
      <c r="BD41" s="209"/>
      <c r="BE41" s="209"/>
      <c r="BF41" s="209"/>
      <c r="BG41" s="209"/>
      <c r="BH41" s="209"/>
      <c r="BI41" s="209"/>
      <c r="BJ41" s="209"/>
      <c r="BK41" s="209"/>
      <c r="BL41" s="209"/>
      <c r="BM41" s="209"/>
      <c r="BN41" s="204"/>
      <c r="BO41" s="204"/>
      <c r="BP41" s="209"/>
      <c r="BQ41" s="209"/>
      <c r="BR41" s="209"/>
      <c r="BS41" s="209"/>
      <c r="BT41" s="209"/>
      <c r="BU41" s="209"/>
      <c r="BV41" s="209"/>
      <c r="BW41" s="209"/>
      <c r="BX41" s="209"/>
      <c r="BY41" s="209"/>
      <c r="BZ41" s="209"/>
      <c r="CA41" s="204"/>
      <c r="CB41" s="204"/>
      <c r="CC41" s="209"/>
      <c r="CD41" s="209"/>
      <c r="CE41" s="209"/>
      <c r="CF41" s="209"/>
      <c r="CG41" s="209"/>
      <c r="CH41" s="209"/>
      <c r="CI41" s="209"/>
      <c r="CJ41" s="209"/>
      <c r="CK41" s="209"/>
      <c r="CL41" s="209"/>
      <c r="CM41" s="209"/>
      <c r="CN41" s="204"/>
      <c r="CO41" s="204"/>
      <c r="CP41" s="209"/>
      <c r="CQ41" s="209"/>
      <c r="CR41" s="209"/>
      <c r="CS41" s="209"/>
      <c r="CT41" s="209"/>
      <c r="CU41" s="209"/>
      <c r="CV41" s="209"/>
      <c r="CW41" s="209"/>
      <c r="CX41" s="209"/>
      <c r="CY41" s="209"/>
      <c r="CZ41" s="209"/>
      <c r="DA41" s="204"/>
      <c r="DB41" s="204"/>
      <c r="DC41" s="209"/>
      <c r="DD41" s="209"/>
      <c r="DE41" s="209"/>
      <c r="DF41" s="209"/>
      <c r="DG41" s="209"/>
      <c r="DH41" s="209"/>
      <c r="DI41" s="209"/>
      <c r="DJ41" s="209"/>
      <c r="DK41" s="209"/>
      <c r="DL41" s="209"/>
      <c r="DM41" s="209"/>
      <c r="DN41" s="204"/>
      <c r="DO41" s="204"/>
      <c r="DP41" s="209"/>
      <c r="DQ41" s="209"/>
      <c r="DR41" s="209"/>
      <c r="DS41" s="209"/>
      <c r="DT41" s="209"/>
      <c r="DU41" s="209"/>
      <c r="DV41" s="209"/>
      <c r="DW41" s="209"/>
      <c r="DX41" s="209"/>
      <c r="DY41" s="209"/>
      <c r="DZ41" s="209"/>
      <c r="EA41" s="204"/>
      <c r="EB41" s="204"/>
      <c r="EC41" s="209"/>
      <c r="ED41" s="209"/>
      <c r="EE41" s="209"/>
      <c r="EF41" s="209"/>
      <c r="EG41" s="209"/>
      <c r="EH41" s="209"/>
      <c r="EI41" s="209"/>
      <c r="EJ41" s="209"/>
      <c r="EK41" s="209"/>
      <c r="EL41" s="209"/>
      <c r="EM41" s="209"/>
      <c r="EN41" s="204"/>
      <c r="EO41" s="204"/>
      <c r="EP41" s="209"/>
      <c r="EQ41" s="209"/>
      <c r="ER41" s="209"/>
      <c r="ES41" s="209"/>
      <c r="ET41" s="209"/>
      <c r="EU41" s="209"/>
      <c r="EV41" s="209"/>
      <c r="EW41" s="209"/>
      <c r="EX41" s="209"/>
      <c r="EY41" s="209"/>
      <c r="EZ41" s="209"/>
      <c r="FA41" s="204"/>
      <c r="FB41" s="204"/>
      <c r="FC41" s="209"/>
      <c r="FD41" s="209"/>
      <c r="FE41" s="209"/>
      <c r="FF41" s="209"/>
      <c r="FG41" s="209"/>
      <c r="FH41" s="209"/>
      <c r="FI41" s="209"/>
      <c r="FJ41" s="209"/>
      <c r="FK41" s="209"/>
      <c r="FL41" s="209"/>
      <c r="FM41" s="209"/>
      <c r="FN41" s="204"/>
      <c r="FO41" s="204"/>
      <c r="FP41" s="209"/>
      <c r="FQ41" s="209"/>
      <c r="FR41" s="209"/>
      <c r="FS41" s="209"/>
      <c r="FT41" s="209"/>
      <c r="FU41" s="209"/>
      <c r="FV41" s="209"/>
      <c r="FW41" s="209"/>
      <c r="FX41" s="209"/>
      <c r="FY41" s="209"/>
      <c r="FZ41" s="209"/>
      <c r="GA41" s="204"/>
      <c r="GB41" s="204"/>
      <c r="GC41" s="209"/>
      <c r="GD41" s="209"/>
      <c r="GE41" s="209"/>
      <c r="GF41" s="209"/>
      <c r="GG41" s="209"/>
      <c r="GH41" s="209"/>
      <c r="GI41" s="209"/>
      <c r="GJ41" s="209"/>
      <c r="GK41" s="209"/>
      <c r="GL41" s="209"/>
      <c r="GM41" s="209"/>
      <c r="GN41" s="204"/>
      <c r="GO41" s="204"/>
      <c r="GP41" s="209"/>
      <c r="GQ41" s="209"/>
      <c r="GR41" s="209"/>
      <c r="GS41" s="209"/>
      <c r="GT41" s="209"/>
      <c r="GU41" s="209"/>
      <c r="GV41" s="209"/>
      <c r="GW41" s="209"/>
      <c r="GX41" s="209"/>
      <c r="GY41" s="209"/>
      <c r="GZ41" s="209"/>
      <c r="HA41" s="204"/>
      <c r="HB41" s="204"/>
      <c r="HC41" s="209"/>
      <c r="HD41" s="209"/>
      <c r="HE41" s="209"/>
      <c r="HF41" s="209"/>
      <c r="HG41" s="209"/>
      <c r="HH41" s="209"/>
      <c r="HI41" s="209"/>
      <c r="HJ41" s="209"/>
      <c r="HK41" s="209"/>
      <c r="HL41" s="209"/>
      <c r="HM41" s="209"/>
      <c r="HN41" s="204"/>
      <c r="HO41" s="204"/>
      <c r="HP41" s="209"/>
      <c r="HQ41" s="209"/>
      <c r="HR41" s="209"/>
      <c r="HS41" s="209"/>
      <c r="HT41" s="209"/>
      <c r="HU41" s="209"/>
      <c r="HV41" s="209"/>
      <c r="HW41" s="209"/>
      <c r="HX41" s="209"/>
      <c r="HY41" s="209"/>
      <c r="HZ41" s="209"/>
      <c r="IA41" s="204"/>
      <c r="IB41" s="204"/>
      <c r="IC41" s="209"/>
      <c r="ID41" s="209"/>
      <c r="IE41" s="209"/>
      <c r="IF41" s="209"/>
      <c r="IG41" s="209"/>
      <c r="IH41" s="209"/>
      <c r="II41" s="209"/>
      <c r="IJ41" s="209"/>
      <c r="IK41" s="209"/>
      <c r="IL41" s="209"/>
      <c r="IM41" s="209"/>
      <c r="IN41" s="204"/>
      <c r="IO41" s="204"/>
      <c r="IP41" s="209"/>
      <c r="IQ41" s="209"/>
      <c r="IR41" s="209"/>
      <c r="IS41" s="209"/>
      <c r="IT41" s="209"/>
      <c r="IU41" s="209"/>
      <c r="IV41" s="209"/>
    </row>
    <row r="42" spans="1:256" x14ac:dyDescent="0.2">
      <c r="A42" s="215"/>
      <c r="B42" s="216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08"/>
      <c r="O42" s="208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04"/>
      <c r="AB42" s="204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4"/>
      <c r="AO42" s="204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4"/>
      <c r="BB42" s="204"/>
      <c r="BC42" s="209"/>
      <c r="BD42" s="209"/>
      <c r="BE42" s="209"/>
      <c r="BF42" s="209"/>
      <c r="BG42" s="209"/>
      <c r="BH42" s="209"/>
      <c r="BI42" s="209"/>
      <c r="BJ42" s="209"/>
      <c r="BK42" s="209"/>
      <c r="BL42" s="209"/>
      <c r="BM42" s="209"/>
      <c r="BN42" s="204"/>
      <c r="BO42" s="204"/>
      <c r="BP42" s="209"/>
      <c r="BQ42" s="209"/>
      <c r="BR42" s="209"/>
      <c r="BS42" s="209"/>
      <c r="BT42" s="209"/>
      <c r="BU42" s="209"/>
      <c r="BV42" s="209"/>
      <c r="BW42" s="209"/>
      <c r="BX42" s="209"/>
      <c r="BY42" s="209"/>
      <c r="BZ42" s="209"/>
      <c r="CA42" s="204"/>
      <c r="CB42" s="204"/>
      <c r="CC42" s="209"/>
      <c r="CD42" s="209"/>
      <c r="CE42" s="209"/>
      <c r="CF42" s="209"/>
      <c r="CG42" s="209"/>
      <c r="CH42" s="209"/>
      <c r="CI42" s="209"/>
      <c r="CJ42" s="209"/>
      <c r="CK42" s="209"/>
      <c r="CL42" s="209"/>
      <c r="CM42" s="209"/>
      <c r="CN42" s="204"/>
      <c r="CO42" s="204"/>
      <c r="CP42" s="209"/>
      <c r="CQ42" s="209"/>
      <c r="CR42" s="209"/>
      <c r="CS42" s="209"/>
      <c r="CT42" s="209"/>
      <c r="CU42" s="209"/>
      <c r="CV42" s="209"/>
      <c r="CW42" s="209"/>
      <c r="CX42" s="209"/>
      <c r="CY42" s="209"/>
      <c r="CZ42" s="209"/>
      <c r="DA42" s="204"/>
      <c r="DB42" s="204"/>
      <c r="DC42" s="209"/>
      <c r="DD42" s="209"/>
      <c r="DE42" s="209"/>
      <c r="DF42" s="209"/>
      <c r="DG42" s="209"/>
      <c r="DH42" s="209"/>
      <c r="DI42" s="209"/>
      <c r="DJ42" s="209"/>
      <c r="DK42" s="209"/>
      <c r="DL42" s="209"/>
      <c r="DM42" s="209"/>
      <c r="DN42" s="204"/>
      <c r="DO42" s="204"/>
      <c r="DP42" s="209"/>
      <c r="DQ42" s="209"/>
      <c r="DR42" s="209"/>
      <c r="DS42" s="209"/>
      <c r="DT42" s="209"/>
      <c r="DU42" s="209"/>
      <c r="DV42" s="209"/>
      <c r="DW42" s="209"/>
      <c r="DX42" s="209"/>
      <c r="DY42" s="209"/>
      <c r="DZ42" s="209"/>
      <c r="EA42" s="204"/>
      <c r="EB42" s="204"/>
      <c r="EC42" s="209"/>
      <c r="ED42" s="209"/>
      <c r="EE42" s="209"/>
      <c r="EF42" s="209"/>
      <c r="EG42" s="209"/>
      <c r="EH42" s="209"/>
      <c r="EI42" s="209"/>
      <c r="EJ42" s="209"/>
      <c r="EK42" s="209"/>
      <c r="EL42" s="209"/>
      <c r="EM42" s="209"/>
      <c r="EN42" s="204"/>
      <c r="EO42" s="204"/>
      <c r="EP42" s="209"/>
      <c r="EQ42" s="209"/>
      <c r="ER42" s="209"/>
      <c r="ES42" s="209"/>
      <c r="ET42" s="209"/>
      <c r="EU42" s="209"/>
      <c r="EV42" s="209"/>
      <c r="EW42" s="209"/>
      <c r="EX42" s="209"/>
      <c r="EY42" s="209"/>
      <c r="EZ42" s="209"/>
      <c r="FA42" s="204"/>
      <c r="FB42" s="204"/>
      <c r="FC42" s="209"/>
      <c r="FD42" s="209"/>
      <c r="FE42" s="209"/>
      <c r="FF42" s="209"/>
      <c r="FG42" s="209"/>
      <c r="FH42" s="209"/>
      <c r="FI42" s="209"/>
      <c r="FJ42" s="209"/>
      <c r="FK42" s="209"/>
      <c r="FL42" s="209"/>
      <c r="FM42" s="209"/>
      <c r="FN42" s="204"/>
      <c r="FO42" s="204"/>
      <c r="FP42" s="209"/>
      <c r="FQ42" s="209"/>
      <c r="FR42" s="209"/>
      <c r="FS42" s="209"/>
      <c r="FT42" s="209"/>
      <c r="FU42" s="209"/>
      <c r="FV42" s="209"/>
      <c r="FW42" s="209"/>
      <c r="FX42" s="209"/>
      <c r="FY42" s="209"/>
      <c r="FZ42" s="209"/>
      <c r="GA42" s="204"/>
      <c r="GB42" s="204"/>
      <c r="GC42" s="209"/>
      <c r="GD42" s="209"/>
      <c r="GE42" s="209"/>
      <c r="GF42" s="209"/>
      <c r="GG42" s="209"/>
      <c r="GH42" s="209"/>
      <c r="GI42" s="209"/>
      <c r="GJ42" s="209"/>
      <c r="GK42" s="209"/>
      <c r="GL42" s="209"/>
      <c r="GM42" s="209"/>
      <c r="GN42" s="204"/>
      <c r="GO42" s="204"/>
      <c r="GP42" s="209"/>
      <c r="GQ42" s="209"/>
      <c r="GR42" s="209"/>
      <c r="GS42" s="209"/>
      <c r="GT42" s="209"/>
      <c r="GU42" s="209"/>
      <c r="GV42" s="209"/>
      <c r="GW42" s="209"/>
      <c r="GX42" s="209"/>
      <c r="GY42" s="209"/>
      <c r="GZ42" s="209"/>
      <c r="HA42" s="204"/>
      <c r="HB42" s="204"/>
      <c r="HC42" s="209"/>
      <c r="HD42" s="209"/>
      <c r="HE42" s="209"/>
      <c r="HF42" s="209"/>
      <c r="HG42" s="209"/>
      <c r="HH42" s="209"/>
      <c r="HI42" s="209"/>
      <c r="HJ42" s="209"/>
      <c r="HK42" s="209"/>
      <c r="HL42" s="209"/>
      <c r="HM42" s="209"/>
      <c r="HN42" s="204"/>
      <c r="HO42" s="204"/>
      <c r="HP42" s="209"/>
      <c r="HQ42" s="209"/>
      <c r="HR42" s="209"/>
      <c r="HS42" s="209"/>
      <c r="HT42" s="209"/>
      <c r="HU42" s="209"/>
      <c r="HV42" s="209"/>
      <c r="HW42" s="209"/>
      <c r="HX42" s="209"/>
      <c r="HY42" s="209"/>
      <c r="HZ42" s="209"/>
      <c r="IA42" s="204"/>
      <c r="IB42" s="204"/>
      <c r="IC42" s="209"/>
      <c r="ID42" s="209"/>
      <c r="IE42" s="209"/>
      <c r="IF42" s="209"/>
      <c r="IG42" s="209"/>
      <c r="IH42" s="209"/>
      <c r="II42" s="209"/>
      <c r="IJ42" s="209"/>
      <c r="IK42" s="209"/>
      <c r="IL42" s="209"/>
      <c r="IM42" s="209"/>
      <c r="IN42" s="204"/>
      <c r="IO42" s="204"/>
      <c r="IP42" s="209"/>
      <c r="IQ42" s="209"/>
      <c r="IR42" s="209"/>
      <c r="IS42" s="209"/>
      <c r="IT42" s="209"/>
      <c r="IU42" s="209"/>
      <c r="IV42" s="209"/>
    </row>
    <row r="43" spans="1:256" x14ac:dyDescent="0.2">
      <c r="A43" s="215"/>
      <c r="B43" s="216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08"/>
      <c r="O43" s="208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04"/>
      <c r="AB43" s="204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4"/>
      <c r="AO43" s="204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4"/>
      <c r="BB43" s="204"/>
      <c r="BC43" s="209"/>
      <c r="BD43" s="209"/>
      <c r="BE43" s="209"/>
      <c r="BF43" s="209"/>
      <c r="BG43" s="209"/>
      <c r="BH43" s="209"/>
      <c r="BI43" s="209"/>
      <c r="BJ43" s="209"/>
      <c r="BK43" s="209"/>
      <c r="BL43" s="209"/>
      <c r="BM43" s="209"/>
      <c r="BN43" s="204"/>
      <c r="BO43" s="204"/>
      <c r="BP43" s="209"/>
      <c r="BQ43" s="209"/>
      <c r="BR43" s="209"/>
      <c r="BS43" s="209"/>
      <c r="BT43" s="209"/>
      <c r="BU43" s="209"/>
      <c r="BV43" s="209"/>
      <c r="BW43" s="209"/>
      <c r="BX43" s="209"/>
      <c r="BY43" s="209"/>
      <c r="BZ43" s="209"/>
      <c r="CA43" s="204"/>
      <c r="CB43" s="204"/>
      <c r="CC43" s="209"/>
      <c r="CD43" s="209"/>
      <c r="CE43" s="209"/>
      <c r="CF43" s="209"/>
      <c r="CG43" s="209"/>
      <c r="CH43" s="209"/>
      <c r="CI43" s="209"/>
      <c r="CJ43" s="209"/>
      <c r="CK43" s="209"/>
      <c r="CL43" s="209"/>
      <c r="CM43" s="209"/>
      <c r="CN43" s="204"/>
      <c r="CO43" s="204"/>
      <c r="CP43" s="209"/>
      <c r="CQ43" s="209"/>
      <c r="CR43" s="209"/>
      <c r="CS43" s="209"/>
      <c r="CT43" s="209"/>
      <c r="CU43" s="209"/>
      <c r="CV43" s="209"/>
      <c r="CW43" s="209"/>
      <c r="CX43" s="209"/>
      <c r="CY43" s="209"/>
      <c r="CZ43" s="209"/>
      <c r="DA43" s="204"/>
      <c r="DB43" s="204"/>
      <c r="DC43" s="209"/>
      <c r="DD43" s="209"/>
      <c r="DE43" s="209"/>
      <c r="DF43" s="209"/>
      <c r="DG43" s="209"/>
      <c r="DH43" s="209"/>
      <c r="DI43" s="209"/>
      <c r="DJ43" s="209"/>
      <c r="DK43" s="209"/>
      <c r="DL43" s="209"/>
      <c r="DM43" s="209"/>
      <c r="DN43" s="204"/>
      <c r="DO43" s="204"/>
      <c r="DP43" s="209"/>
      <c r="DQ43" s="209"/>
      <c r="DR43" s="209"/>
      <c r="DS43" s="209"/>
      <c r="DT43" s="209"/>
      <c r="DU43" s="209"/>
      <c r="DV43" s="209"/>
      <c r="DW43" s="209"/>
      <c r="DX43" s="209"/>
      <c r="DY43" s="209"/>
      <c r="DZ43" s="209"/>
      <c r="EA43" s="204"/>
      <c r="EB43" s="204"/>
      <c r="EC43" s="209"/>
      <c r="ED43" s="209"/>
      <c r="EE43" s="209"/>
      <c r="EF43" s="209"/>
      <c r="EG43" s="209"/>
      <c r="EH43" s="209"/>
      <c r="EI43" s="209"/>
      <c r="EJ43" s="209"/>
      <c r="EK43" s="209"/>
      <c r="EL43" s="209"/>
      <c r="EM43" s="209"/>
      <c r="EN43" s="204"/>
      <c r="EO43" s="204"/>
      <c r="EP43" s="209"/>
      <c r="EQ43" s="209"/>
      <c r="ER43" s="209"/>
      <c r="ES43" s="209"/>
      <c r="ET43" s="209"/>
      <c r="EU43" s="209"/>
      <c r="EV43" s="209"/>
      <c r="EW43" s="209"/>
      <c r="EX43" s="209"/>
      <c r="EY43" s="209"/>
      <c r="EZ43" s="209"/>
      <c r="FA43" s="204"/>
      <c r="FB43" s="204"/>
      <c r="FC43" s="209"/>
      <c r="FD43" s="209"/>
      <c r="FE43" s="209"/>
      <c r="FF43" s="209"/>
      <c r="FG43" s="209"/>
      <c r="FH43" s="209"/>
      <c r="FI43" s="209"/>
      <c r="FJ43" s="209"/>
      <c r="FK43" s="209"/>
      <c r="FL43" s="209"/>
      <c r="FM43" s="209"/>
      <c r="FN43" s="204"/>
      <c r="FO43" s="204"/>
      <c r="FP43" s="209"/>
      <c r="FQ43" s="209"/>
      <c r="FR43" s="209"/>
      <c r="FS43" s="209"/>
      <c r="FT43" s="209"/>
      <c r="FU43" s="209"/>
      <c r="FV43" s="209"/>
      <c r="FW43" s="209"/>
      <c r="FX43" s="209"/>
      <c r="FY43" s="209"/>
      <c r="FZ43" s="209"/>
      <c r="GA43" s="204"/>
      <c r="GB43" s="204"/>
      <c r="GC43" s="209"/>
      <c r="GD43" s="209"/>
      <c r="GE43" s="209"/>
      <c r="GF43" s="209"/>
      <c r="GG43" s="209"/>
      <c r="GH43" s="209"/>
      <c r="GI43" s="209"/>
      <c r="GJ43" s="209"/>
      <c r="GK43" s="209"/>
      <c r="GL43" s="209"/>
      <c r="GM43" s="209"/>
      <c r="GN43" s="204"/>
      <c r="GO43" s="204"/>
      <c r="GP43" s="209"/>
      <c r="GQ43" s="209"/>
      <c r="GR43" s="209"/>
      <c r="GS43" s="209"/>
      <c r="GT43" s="209"/>
      <c r="GU43" s="209"/>
      <c r="GV43" s="209"/>
      <c r="GW43" s="209"/>
      <c r="GX43" s="209"/>
      <c r="GY43" s="209"/>
      <c r="GZ43" s="209"/>
      <c r="HA43" s="204"/>
      <c r="HB43" s="204"/>
      <c r="HC43" s="209"/>
      <c r="HD43" s="209"/>
      <c r="HE43" s="209"/>
      <c r="HF43" s="209"/>
      <c r="HG43" s="209"/>
      <c r="HH43" s="209"/>
      <c r="HI43" s="209"/>
      <c r="HJ43" s="209"/>
      <c r="HK43" s="209"/>
      <c r="HL43" s="209"/>
      <c r="HM43" s="209"/>
      <c r="HN43" s="204"/>
      <c r="HO43" s="204"/>
      <c r="HP43" s="209"/>
      <c r="HQ43" s="209"/>
      <c r="HR43" s="209"/>
      <c r="HS43" s="209"/>
      <c r="HT43" s="209"/>
      <c r="HU43" s="209"/>
      <c r="HV43" s="209"/>
      <c r="HW43" s="209"/>
      <c r="HX43" s="209"/>
      <c r="HY43" s="209"/>
      <c r="HZ43" s="209"/>
      <c r="IA43" s="204"/>
      <c r="IB43" s="204"/>
      <c r="IC43" s="209"/>
      <c r="ID43" s="209"/>
      <c r="IE43" s="209"/>
      <c r="IF43" s="209"/>
      <c r="IG43" s="209"/>
      <c r="IH43" s="209"/>
      <c r="II43" s="209"/>
      <c r="IJ43" s="209"/>
      <c r="IK43" s="209"/>
      <c r="IL43" s="209"/>
      <c r="IM43" s="209"/>
      <c r="IN43" s="204"/>
      <c r="IO43" s="204"/>
      <c r="IP43" s="209"/>
      <c r="IQ43" s="209"/>
      <c r="IR43" s="209"/>
      <c r="IS43" s="209"/>
      <c r="IT43" s="209"/>
      <c r="IU43" s="209"/>
      <c r="IV43" s="209"/>
    </row>
    <row r="44" spans="1:256" x14ac:dyDescent="0.2">
      <c r="A44" s="215"/>
      <c r="B44" s="216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08"/>
      <c r="O44" s="208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04"/>
      <c r="AB44" s="204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4"/>
      <c r="AO44" s="204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4"/>
      <c r="BB44" s="204"/>
      <c r="BC44" s="209"/>
      <c r="BD44" s="209"/>
      <c r="BE44" s="209"/>
      <c r="BF44" s="209"/>
      <c r="BG44" s="209"/>
      <c r="BH44" s="209"/>
      <c r="BI44" s="209"/>
      <c r="BJ44" s="209"/>
      <c r="BK44" s="209"/>
      <c r="BL44" s="209"/>
      <c r="BM44" s="209"/>
      <c r="BN44" s="204"/>
      <c r="BO44" s="204"/>
      <c r="BP44" s="209"/>
      <c r="BQ44" s="209"/>
      <c r="BR44" s="209"/>
      <c r="BS44" s="209"/>
      <c r="BT44" s="209"/>
      <c r="BU44" s="209"/>
      <c r="BV44" s="209"/>
      <c r="BW44" s="209"/>
      <c r="BX44" s="209"/>
      <c r="BY44" s="209"/>
      <c r="BZ44" s="209"/>
      <c r="CA44" s="204"/>
      <c r="CB44" s="204"/>
      <c r="CC44" s="209"/>
      <c r="CD44" s="209"/>
      <c r="CE44" s="209"/>
      <c r="CF44" s="209"/>
      <c r="CG44" s="209"/>
      <c r="CH44" s="209"/>
      <c r="CI44" s="209"/>
      <c r="CJ44" s="209"/>
      <c r="CK44" s="209"/>
      <c r="CL44" s="209"/>
      <c r="CM44" s="209"/>
      <c r="CN44" s="204"/>
      <c r="CO44" s="204"/>
      <c r="CP44" s="209"/>
      <c r="CQ44" s="209"/>
      <c r="CR44" s="209"/>
      <c r="CS44" s="209"/>
      <c r="CT44" s="209"/>
      <c r="CU44" s="209"/>
      <c r="CV44" s="209"/>
      <c r="CW44" s="209"/>
      <c r="CX44" s="209"/>
      <c r="CY44" s="209"/>
      <c r="CZ44" s="209"/>
      <c r="DA44" s="204"/>
      <c r="DB44" s="204"/>
      <c r="DC44" s="209"/>
      <c r="DD44" s="209"/>
      <c r="DE44" s="209"/>
      <c r="DF44" s="209"/>
      <c r="DG44" s="209"/>
      <c r="DH44" s="209"/>
      <c r="DI44" s="209"/>
      <c r="DJ44" s="209"/>
      <c r="DK44" s="209"/>
      <c r="DL44" s="209"/>
      <c r="DM44" s="209"/>
      <c r="DN44" s="204"/>
      <c r="DO44" s="204"/>
      <c r="DP44" s="209"/>
      <c r="DQ44" s="209"/>
      <c r="DR44" s="209"/>
      <c r="DS44" s="209"/>
      <c r="DT44" s="209"/>
      <c r="DU44" s="209"/>
      <c r="DV44" s="209"/>
      <c r="DW44" s="209"/>
      <c r="DX44" s="209"/>
      <c r="DY44" s="209"/>
      <c r="DZ44" s="209"/>
      <c r="EA44" s="204"/>
      <c r="EB44" s="204"/>
      <c r="EC44" s="209"/>
      <c r="ED44" s="209"/>
      <c r="EE44" s="209"/>
      <c r="EF44" s="209"/>
      <c r="EG44" s="209"/>
      <c r="EH44" s="209"/>
      <c r="EI44" s="209"/>
      <c r="EJ44" s="209"/>
      <c r="EK44" s="209"/>
      <c r="EL44" s="209"/>
      <c r="EM44" s="209"/>
      <c r="EN44" s="204"/>
      <c r="EO44" s="204"/>
      <c r="EP44" s="209"/>
      <c r="EQ44" s="209"/>
      <c r="ER44" s="209"/>
      <c r="ES44" s="209"/>
      <c r="ET44" s="209"/>
      <c r="EU44" s="209"/>
      <c r="EV44" s="209"/>
      <c r="EW44" s="209"/>
      <c r="EX44" s="209"/>
      <c r="EY44" s="209"/>
      <c r="EZ44" s="209"/>
      <c r="FA44" s="204"/>
      <c r="FB44" s="204"/>
      <c r="FC44" s="209"/>
      <c r="FD44" s="209"/>
      <c r="FE44" s="209"/>
      <c r="FF44" s="209"/>
      <c r="FG44" s="209"/>
      <c r="FH44" s="209"/>
      <c r="FI44" s="209"/>
      <c r="FJ44" s="209"/>
      <c r="FK44" s="209"/>
      <c r="FL44" s="209"/>
      <c r="FM44" s="209"/>
      <c r="FN44" s="204"/>
      <c r="FO44" s="204"/>
      <c r="FP44" s="209"/>
      <c r="FQ44" s="209"/>
      <c r="FR44" s="209"/>
      <c r="FS44" s="209"/>
      <c r="FT44" s="209"/>
      <c r="FU44" s="209"/>
      <c r="FV44" s="209"/>
      <c r="FW44" s="209"/>
      <c r="FX44" s="209"/>
      <c r="FY44" s="209"/>
      <c r="FZ44" s="209"/>
      <c r="GA44" s="204"/>
      <c r="GB44" s="204"/>
      <c r="GC44" s="209"/>
      <c r="GD44" s="209"/>
      <c r="GE44" s="209"/>
      <c r="GF44" s="209"/>
      <c r="GG44" s="209"/>
      <c r="GH44" s="209"/>
      <c r="GI44" s="209"/>
      <c r="GJ44" s="209"/>
      <c r="GK44" s="209"/>
      <c r="GL44" s="209"/>
      <c r="GM44" s="209"/>
      <c r="GN44" s="204"/>
      <c r="GO44" s="204"/>
      <c r="GP44" s="209"/>
      <c r="GQ44" s="209"/>
      <c r="GR44" s="209"/>
      <c r="GS44" s="209"/>
      <c r="GT44" s="209"/>
      <c r="GU44" s="209"/>
      <c r="GV44" s="209"/>
      <c r="GW44" s="209"/>
      <c r="GX44" s="209"/>
      <c r="GY44" s="209"/>
      <c r="GZ44" s="209"/>
      <c r="HA44" s="204"/>
      <c r="HB44" s="204"/>
      <c r="HC44" s="209"/>
      <c r="HD44" s="209"/>
      <c r="HE44" s="209"/>
      <c r="HF44" s="209"/>
      <c r="HG44" s="209"/>
      <c r="HH44" s="209"/>
      <c r="HI44" s="209"/>
      <c r="HJ44" s="209"/>
      <c r="HK44" s="209"/>
      <c r="HL44" s="209"/>
      <c r="HM44" s="209"/>
      <c r="HN44" s="204"/>
      <c r="HO44" s="204"/>
      <c r="HP44" s="209"/>
      <c r="HQ44" s="209"/>
      <c r="HR44" s="209"/>
      <c r="HS44" s="209"/>
      <c r="HT44" s="209"/>
      <c r="HU44" s="209"/>
      <c r="HV44" s="209"/>
      <c r="HW44" s="209"/>
      <c r="HX44" s="209"/>
      <c r="HY44" s="209"/>
      <c r="HZ44" s="209"/>
      <c r="IA44" s="204"/>
      <c r="IB44" s="204"/>
      <c r="IC44" s="209"/>
      <c r="ID44" s="209"/>
      <c r="IE44" s="209"/>
      <c r="IF44" s="209"/>
      <c r="IG44" s="209"/>
      <c r="IH44" s="209"/>
      <c r="II44" s="209"/>
      <c r="IJ44" s="209"/>
      <c r="IK44" s="209"/>
      <c r="IL44" s="209"/>
      <c r="IM44" s="209"/>
      <c r="IN44" s="204"/>
      <c r="IO44" s="204"/>
      <c r="IP44" s="209"/>
      <c r="IQ44" s="209"/>
      <c r="IR44" s="209"/>
      <c r="IS44" s="209"/>
      <c r="IT44" s="209"/>
      <c r="IU44" s="209"/>
      <c r="IV44" s="209"/>
    </row>
    <row r="45" spans="1:256" x14ac:dyDescent="0.2">
      <c r="A45" s="215"/>
      <c r="B45" s="216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08"/>
      <c r="O45" s="208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04"/>
      <c r="AB45" s="204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4"/>
      <c r="AO45" s="204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4"/>
      <c r="BB45" s="204"/>
      <c r="BC45" s="209"/>
      <c r="BD45" s="209"/>
      <c r="BE45" s="209"/>
      <c r="BF45" s="209"/>
      <c r="BG45" s="209"/>
      <c r="BH45" s="209"/>
      <c r="BI45" s="209"/>
      <c r="BJ45" s="209"/>
      <c r="BK45" s="209"/>
      <c r="BL45" s="209"/>
      <c r="BM45" s="209"/>
      <c r="BN45" s="204"/>
      <c r="BO45" s="204"/>
      <c r="BP45" s="209"/>
      <c r="BQ45" s="209"/>
      <c r="BR45" s="209"/>
      <c r="BS45" s="209"/>
      <c r="BT45" s="209"/>
      <c r="BU45" s="209"/>
      <c r="BV45" s="209"/>
      <c r="BW45" s="209"/>
      <c r="BX45" s="209"/>
      <c r="BY45" s="209"/>
      <c r="BZ45" s="209"/>
      <c r="CA45" s="204"/>
      <c r="CB45" s="204"/>
      <c r="CC45" s="209"/>
      <c r="CD45" s="209"/>
      <c r="CE45" s="209"/>
      <c r="CF45" s="209"/>
      <c r="CG45" s="209"/>
      <c r="CH45" s="209"/>
      <c r="CI45" s="209"/>
      <c r="CJ45" s="209"/>
      <c r="CK45" s="209"/>
      <c r="CL45" s="209"/>
      <c r="CM45" s="209"/>
      <c r="CN45" s="204"/>
      <c r="CO45" s="204"/>
      <c r="CP45" s="209"/>
      <c r="CQ45" s="209"/>
      <c r="CR45" s="209"/>
      <c r="CS45" s="209"/>
      <c r="CT45" s="209"/>
      <c r="CU45" s="209"/>
      <c r="CV45" s="209"/>
      <c r="CW45" s="209"/>
      <c r="CX45" s="209"/>
      <c r="CY45" s="209"/>
      <c r="CZ45" s="209"/>
      <c r="DA45" s="204"/>
      <c r="DB45" s="204"/>
      <c r="DC45" s="209"/>
      <c r="DD45" s="209"/>
      <c r="DE45" s="209"/>
      <c r="DF45" s="209"/>
      <c r="DG45" s="209"/>
      <c r="DH45" s="209"/>
      <c r="DI45" s="209"/>
      <c r="DJ45" s="209"/>
      <c r="DK45" s="209"/>
      <c r="DL45" s="209"/>
      <c r="DM45" s="209"/>
      <c r="DN45" s="204"/>
      <c r="DO45" s="204"/>
      <c r="DP45" s="209"/>
      <c r="DQ45" s="209"/>
      <c r="DR45" s="209"/>
      <c r="DS45" s="209"/>
      <c r="DT45" s="209"/>
      <c r="DU45" s="209"/>
      <c r="DV45" s="209"/>
      <c r="DW45" s="209"/>
      <c r="DX45" s="209"/>
      <c r="DY45" s="209"/>
      <c r="DZ45" s="209"/>
      <c r="EA45" s="204"/>
      <c r="EB45" s="204"/>
      <c r="EC45" s="209"/>
      <c r="ED45" s="209"/>
      <c r="EE45" s="209"/>
      <c r="EF45" s="209"/>
      <c r="EG45" s="209"/>
      <c r="EH45" s="209"/>
      <c r="EI45" s="209"/>
      <c r="EJ45" s="209"/>
      <c r="EK45" s="209"/>
      <c r="EL45" s="209"/>
      <c r="EM45" s="209"/>
      <c r="EN45" s="204"/>
      <c r="EO45" s="204"/>
      <c r="EP45" s="209"/>
      <c r="EQ45" s="209"/>
      <c r="ER45" s="209"/>
      <c r="ES45" s="209"/>
      <c r="ET45" s="209"/>
      <c r="EU45" s="209"/>
      <c r="EV45" s="209"/>
      <c r="EW45" s="209"/>
      <c r="EX45" s="209"/>
      <c r="EY45" s="209"/>
      <c r="EZ45" s="209"/>
      <c r="FA45" s="204"/>
      <c r="FB45" s="204"/>
      <c r="FC45" s="209"/>
      <c r="FD45" s="209"/>
      <c r="FE45" s="209"/>
      <c r="FF45" s="209"/>
      <c r="FG45" s="209"/>
      <c r="FH45" s="209"/>
      <c r="FI45" s="209"/>
      <c r="FJ45" s="209"/>
      <c r="FK45" s="209"/>
      <c r="FL45" s="209"/>
      <c r="FM45" s="209"/>
      <c r="FN45" s="204"/>
      <c r="FO45" s="204"/>
      <c r="FP45" s="209"/>
      <c r="FQ45" s="209"/>
      <c r="FR45" s="209"/>
      <c r="FS45" s="209"/>
      <c r="FT45" s="209"/>
      <c r="FU45" s="209"/>
      <c r="FV45" s="209"/>
      <c r="FW45" s="209"/>
      <c r="FX45" s="209"/>
      <c r="FY45" s="209"/>
      <c r="FZ45" s="209"/>
      <c r="GA45" s="204"/>
      <c r="GB45" s="204"/>
      <c r="GC45" s="209"/>
      <c r="GD45" s="209"/>
      <c r="GE45" s="209"/>
      <c r="GF45" s="209"/>
      <c r="GG45" s="209"/>
      <c r="GH45" s="209"/>
      <c r="GI45" s="209"/>
      <c r="GJ45" s="209"/>
      <c r="GK45" s="209"/>
      <c r="GL45" s="209"/>
      <c r="GM45" s="209"/>
      <c r="GN45" s="204"/>
      <c r="GO45" s="204"/>
      <c r="GP45" s="209"/>
      <c r="GQ45" s="209"/>
      <c r="GR45" s="209"/>
      <c r="GS45" s="209"/>
      <c r="GT45" s="209"/>
      <c r="GU45" s="209"/>
      <c r="GV45" s="209"/>
      <c r="GW45" s="209"/>
      <c r="GX45" s="209"/>
      <c r="GY45" s="209"/>
      <c r="GZ45" s="209"/>
      <c r="HA45" s="204"/>
      <c r="HB45" s="204"/>
      <c r="HC45" s="209"/>
      <c r="HD45" s="209"/>
      <c r="HE45" s="209"/>
      <c r="HF45" s="209"/>
      <c r="HG45" s="209"/>
      <c r="HH45" s="209"/>
      <c r="HI45" s="209"/>
      <c r="HJ45" s="209"/>
      <c r="HK45" s="209"/>
      <c r="HL45" s="209"/>
      <c r="HM45" s="209"/>
      <c r="HN45" s="204"/>
      <c r="HO45" s="204"/>
      <c r="HP45" s="209"/>
      <c r="HQ45" s="209"/>
      <c r="HR45" s="209"/>
      <c r="HS45" s="209"/>
      <c r="HT45" s="209"/>
      <c r="HU45" s="209"/>
      <c r="HV45" s="209"/>
      <c r="HW45" s="209"/>
      <c r="HX45" s="209"/>
      <c r="HY45" s="209"/>
      <c r="HZ45" s="209"/>
      <c r="IA45" s="204"/>
      <c r="IB45" s="204"/>
      <c r="IC45" s="209"/>
      <c r="ID45" s="209"/>
      <c r="IE45" s="209"/>
      <c r="IF45" s="209"/>
      <c r="IG45" s="209"/>
      <c r="IH45" s="209"/>
      <c r="II45" s="209"/>
      <c r="IJ45" s="209"/>
      <c r="IK45" s="209"/>
      <c r="IL45" s="209"/>
      <c r="IM45" s="209"/>
      <c r="IN45" s="204"/>
      <c r="IO45" s="204"/>
      <c r="IP45" s="209"/>
      <c r="IQ45" s="209"/>
      <c r="IR45" s="209"/>
      <c r="IS45" s="209"/>
      <c r="IT45" s="209"/>
      <c r="IU45" s="209"/>
      <c r="IV45" s="209"/>
    </row>
    <row r="46" spans="1:256" x14ac:dyDescent="0.2">
      <c r="A46" s="215"/>
      <c r="B46" s="216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08"/>
      <c r="O46" s="208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04"/>
      <c r="AB46" s="204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4"/>
      <c r="AO46" s="204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4"/>
      <c r="BB46" s="204"/>
      <c r="BC46" s="209"/>
      <c r="BD46" s="209"/>
      <c r="BE46" s="209"/>
      <c r="BF46" s="209"/>
      <c r="BG46" s="209"/>
      <c r="BH46" s="209"/>
      <c r="BI46" s="209"/>
      <c r="BJ46" s="209"/>
      <c r="BK46" s="209"/>
      <c r="BL46" s="209"/>
      <c r="BM46" s="209"/>
      <c r="BN46" s="204"/>
      <c r="BO46" s="204"/>
      <c r="BP46" s="209"/>
      <c r="BQ46" s="209"/>
      <c r="BR46" s="209"/>
      <c r="BS46" s="209"/>
      <c r="BT46" s="209"/>
      <c r="BU46" s="209"/>
      <c r="BV46" s="209"/>
      <c r="BW46" s="209"/>
      <c r="BX46" s="209"/>
      <c r="BY46" s="209"/>
      <c r="BZ46" s="209"/>
      <c r="CA46" s="204"/>
      <c r="CB46" s="204"/>
      <c r="CC46" s="209"/>
      <c r="CD46" s="209"/>
      <c r="CE46" s="209"/>
      <c r="CF46" s="209"/>
      <c r="CG46" s="209"/>
      <c r="CH46" s="209"/>
      <c r="CI46" s="209"/>
      <c r="CJ46" s="209"/>
      <c r="CK46" s="209"/>
      <c r="CL46" s="209"/>
      <c r="CM46" s="209"/>
      <c r="CN46" s="204"/>
      <c r="CO46" s="204"/>
      <c r="CP46" s="209"/>
      <c r="CQ46" s="209"/>
      <c r="CR46" s="209"/>
      <c r="CS46" s="209"/>
      <c r="CT46" s="209"/>
      <c r="CU46" s="209"/>
      <c r="CV46" s="209"/>
      <c r="CW46" s="209"/>
      <c r="CX46" s="209"/>
      <c r="CY46" s="209"/>
      <c r="CZ46" s="209"/>
      <c r="DA46" s="204"/>
      <c r="DB46" s="204"/>
      <c r="DC46" s="209"/>
      <c r="DD46" s="209"/>
      <c r="DE46" s="209"/>
      <c r="DF46" s="209"/>
      <c r="DG46" s="209"/>
      <c r="DH46" s="209"/>
      <c r="DI46" s="209"/>
      <c r="DJ46" s="209"/>
      <c r="DK46" s="209"/>
      <c r="DL46" s="209"/>
      <c r="DM46" s="209"/>
      <c r="DN46" s="204"/>
      <c r="DO46" s="204"/>
      <c r="DP46" s="209"/>
      <c r="DQ46" s="209"/>
      <c r="DR46" s="209"/>
      <c r="DS46" s="209"/>
      <c r="DT46" s="209"/>
      <c r="DU46" s="209"/>
      <c r="DV46" s="209"/>
      <c r="DW46" s="209"/>
      <c r="DX46" s="209"/>
      <c r="DY46" s="209"/>
      <c r="DZ46" s="209"/>
      <c r="EA46" s="204"/>
      <c r="EB46" s="204"/>
      <c r="EC46" s="209"/>
      <c r="ED46" s="209"/>
      <c r="EE46" s="209"/>
      <c r="EF46" s="209"/>
      <c r="EG46" s="209"/>
      <c r="EH46" s="209"/>
      <c r="EI46" s="209"/>
      <c r="EJ46" s="209"/>
      <c r="EK46" s="209"/>
      <c r="EL46" s="209"/>
      <c r="EM46" s="209"/>
      <c r="EN46" s="204"/>
      <c r="EO46" s="204"/>
      <c r="EP46" s="209"/>
      <c r="EQ46" s="209"/>
      <c r="ER46" s="209"/>
      <c r="ES46" s="209"/>
      <c r="ET46" s="209"/>
      <c r="EU46" s="209"/>
      <c r="EV46" s="209"/>
      <c r="EW46" s="209"/>
      <c r="EX46" s="209"/>
      <c r="EY46" s="209"/>
      <c r="EZ46" s="209"/>
      <c r="FA46" s="204"/>
      <c r="FB46" s="204"/>
      <c r="FC46" s="209"/>
      <c r="FD46" s="209"/>
      <c r="FE46" s="209"/>
      <c r="FF46" s="209"/>
      <c r="FG46" s="209"/>
      <c r="FH46" s="209"/>
      <c r="FI46" s="209"/>
      <c r="FJ46" s="209"/>
      <c r="FK46" s="209"/>
      <c r="FL46" s="209"/>
      <c r="FM46" s="209"/>
      <c r="FN46" s="204"/>
      <c r="FO46" s="204"/>
      <c r="FP46" s="209"/>
      <c r="FQ46" s="209"/>
      <c r="FR46" s="209"/>
      <c r="FS46" s="209"/>
      <c r="FT46" s="209"/>
      <c r="FU46" s="209"/>
      <c r="FV46" s="209"/>
      <c r="FW46" s="209"/>
      <c r="FX46" s="209"/>
      <c r="FY46" s="209"/>
      <c r="FZ46" s="209"/>
      <c r="GA46" s="204"/>
      <c r="GB46" s="204"/>
      <c r="GC46" s="209"/>
      <c r="GD46" s="209"/>
      <c r="GE46" s="209"/>
      <c r="GF46" s="209"/>
      <c r="GG46" s="209"/>
      <c r="GH46" s="209"/>
      <c r="GI46" s="209"/>
      <c r="GJ46" s="209"/>
      <c r="GK46" s="209"/>
      <c r="GL46" s="209"/>
      <c r="GM46" s="209"/>
      <c r="GN46" s="204"/>
      <c r="GO46" s="204"/>
      <c r="GP46" s="209"/>
      <c r="GQ46" s="209"/>
      <c r="GR46" s="209"/>
      <c r="GS46" s="209"/>
      <c r="GT46" s="209"/>
      <c r="GU46" s="209"/>
      <c r="GV46" s="209"/>
      <c r="GW46" s="209"/>
      <c r="GX46" s="209"/>
      <c r="GY46" s="209"/>
      <c r="GZ46" s="209"/>
      <c r="HA46" s="204"/>
      <c r="HB46" s="204"/>
      <c r="HC46" s="209"/>
      <c r="HD46" s="209"/>
      <c r="HE46" s="209"/>
      <c r="HF46" s="209"/>
      <c r="HG46" s="209"/>
      <c r="HH46" s="209"/>
      <c r="HI46" s="209"/>
      <c r="HJ46" s="209"/>
      <c r="HK46" s="209"/>
      <c r="HL46" s="209"/>
      <c r="HM46" s="209"/>
      <c r="HN46" s="204"/>
      <c r="HO46" s="204"/>
      <c r="HP46" s="209"/>
      <c r="HQ46" s="209"/>
      <c r="HR46" s="209"/>
      <c r="HS46" s="209"/>
      <c r="HT46" s="209"/>
      <c r="HU46" s="209"/>
      <c r="HV46" s="209"/>
      <c r="HW46" s="209"/>
      <c r="HX46" s="209"/>
      <c r="HY46" s="209"/>
      <c r="HZ46" s="209"/>
      <c r="IA46" s="204"/>
      <c r="IB46" s="204"/>
      <c r="IC46" s="209"/>
      <c r="ID46" s="209"/>
      <c r="IE46" s="209"/>
      <c r="IF46" s="209"/>
      <c r="IG46" s="209"/>
      <c r="IH46" s="209"/>
      <c r="II46" s="209"/>
      <c r="IJ46" s="209"/>
      <c r="IK46" s="209"/>
      <c r="IL46" s="209"/>
      <c r="IM46" s="209"/>
      <c r="IN46" s="204"/>
      <c r="IO46" s="204"/>
      <c r="IP46" s="209"/>
      <c r="IQ46" s="209"/>
      <c r="IR46" s="209"/>
      <c r="IS46" s="209"/>
      <c r="IT46" s="209"/>
      <c r="IU46" s="209"/>
      <c r="IV46" s="209"/>
    </row>
    <row r="47" spans="1:256" x14ac:dyDescent="0.2">
      <c r="A47" s="215"/>
      <c r="B47" s="216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08"/>
      <c r="O47" s="208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04"/>
      <c r="AB47" s="204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4"/>
      <c r="AO47" s="204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  <c r="BA47" s="204"/>
      <c r="BB47" s="204"/>
      <c r="BC47" s="209"/>
      <c r="BD47" s="209"/>
      <c r="BE47" s="209"/>
      <c r="BF47" s="209"/>
      <c r="BG47" s="209"/>
      <c r="BH47" s="209"/>
      <c r="BI47" s="209"/>
      <c r="BJ47" s="209"/>
      <c r="BK47" s="209"/>
      <c r="BL47" s="209"/>
      <c r="BM47" s="209"/>
      <c r="BN47" s="204"/>
      <c r="BO47" s="204"/>
      <c r="BP47" s="209"/>
      <c r="BQ47" s="209"/>
      <c r="BR47" s="209"/>
      <c r="BS47" s="209"/>
      <c r="BT47" s="209"/>
      <c r="BU47" s="209"/>
      <c r="BV47" s="209"/>
      <c r="BW47" s="209"/>
      <c r="BX47" s="209"/>
      <c r="BY47" s="209"/>
      <c r="BZ47" s="209"/>
      <c r="CA47" s="204"/>
      <c r="CB47" s="204"/>
      <c r="CC47" s="209"/>
      <c r="CD47" s="209"/>
      <c r="CE47" s="209"/>
      <c r="CF47" s="209"/>
      <c r="CG47" s="209"/>
      <c r="CH47" s="209"/>
      <c r="CI47" s="209"/>
      <c r="CJ47" s="209"/>
      <c r="CK47" s="209"/>
      <c r="CL47" s="209"/>
      <c r="CM47" s="209"/>
      <c r="CN47" s="204"/>
      <c r="CO47" s="204"/>
      <c r="CP47" s="209"/>
      <c r="CQ47" s="209"/>
      <c r="CR47" s="209"/>
      <c r="CS47" s="209"/>
      <c r="CT47" s="209"/>
      <c r="CU47" s="209"/>
      <c r="CV47" s="209"/>
      <c r="CW47" s="209"/>
      <c r="CX47" s="209"/>
      <c r="CY47" s="209"/>
      <c r="CZ47" s="209"/>
      <c r="DA47" s="204"/>
      <c r="DB47" s="204"/>
      <c r="DC47" s="209"/>
      <c r="DD47" s="209"/>
      <c r="DE47" s="209"/>
      <c r="DF47" s="209"/>
      <c r="DG47" s="209"/>
      <c r="DH47" s="209"/>
      <c r="DI47" s="209"/>
      <c r="DJ47" s="209"/>
      <c r="DK47" s="209"/>
      <c r="DL47" s="209"/>
      <c r="DM47" s="209"/>
      <c r="DN47" s="204"/>
      <c r="DO47" s="204"/>
      <c r="DP47" s="209"/>
      <c r="DQ47" s="209"/>
      <c r="DR47" s="209"/>
      <c r="DS47" s="209"/>
      <c r="DT47" s="209"/>
      <c r="DU47" s="209"/>
      <c r="DV47" s="209"/>
      <c r="DW47" s="209"/>
      <c r="DX47" s="209"/>
      <c r="DY47" s="209"/>
      <c r="DZ47" s="209"/>
      <c r="EA47" s="204"/>
      <c r="EB47" s="204"/>
      <c r="EC47" s="209"/>
      <c r="ED47" s="209"/>
      <c r="EE47" s="209"/>
      <c r="EF47" s="209"/>
      <c r="EG47" s="209"/>
      <c r="EH47" s="209"/>
      <c r="EI47" s="209"/>
      <c r="EJ47" s="209"/>
      <c r="EK47" s="209"/>
      <c r="EL47" s="209"/>
      <c r="EM47" s="209"/>
      <c r="EN47" s="204"/>
      <c r="EO47" s="204"/>
      <c r="EP47" s="209"/>
      <c r="EQ47" s="209"/>
      <c r="ER47" s="209"/>
      <c r="ES47" s="209"/>
      <c r="ET47" s="209"/>
      <c r="EU47" s="209"/>
      <c r="EV47" s="209"/>
      <c r="EW47" s="209"/>
      <c r="EX47" s="209"/>
      <c r="EY47" s="209"/>
      <c r="EZ47" s="209"/>
      <c r="FA47" s="204"/>
      <c r="FB47" s="204"/>
      <c r="FC47" s="209"/>
      <c r="FD47" s="209"/>
      <c r="FE47" s="209"/>
      <c r="FF47" s="209"/>
      <c r="FG47" s="209"/>
      <c r="FH47" s="209"/>
      <c r="FI47" s="209"/>
      <c r="FJ47" s="209"/>
      <c r="FK47" s="209"/>
      <c r="FL47" s="209"/>
      <c r="FM47" s="209"/>
      <c r="FN47" s="204"/>
      <c r="FO47" s="204"/>
      <c r="FP47" s="209"/>
      <c r="FQ47" s="209"/>
      <c r="FR47" s="209"/>
      <c r="FS47" s="209"/>
      <c r="FT47" s="209"/>
      <c r="FU47" s="209"/>
      <c r="FV47" s="209"/>
      <c r="FW47" s="209"/>
      <c r="FX47" s="209"/>
      <c r="FY47" s="209"/>
      <c r="FZ47" s="209"/>
      <c r="GA47" s="204"/>
      <c r="GB47" s="204"/>
      <c r="GC47" s="209"/>
      <c r="GD47" s="209"/>
      <c r="GE47" s="209"/>
      <c r="GF47" s="209"/>
      <c r="GG47" s="209"/>
      <c r="GH47" s="209"/>
      <c r="GI47" s="209"/>
      <c r="GJ47" s="209"/>
      <c r="GK47" s="209"/>
      <c r="GL47" s="209"/>
      <c r="GM47" s="209"/>
      <c r="GN47" s="204"/>
      <c r="GO47" s="204"/>
      <c r="GP47" s="209"/>
      <c r="GQ47" s="209"/>
      <c r="GR47" s="209"/>
      <c r="GS47" s="209"/>
      <c r="GT47" s="209"/>
      <c r="GU47" s="209"/>
      <c r="GV47" s="209"/>
      <c r="GW47" s="209"/>
      <c r="GX47" s="209"/>
      <c r="GY47" s="209"/>
      <c r="GZ47" s="209"/>
      <c r="HA47" s="204"/>
      <c r="HB47" s="204"/>
      <c r="HC47" s="209"/>
      <c r="HD47" s="209"/>
      <c r="HE47" s="209"/>
      <c r="HF47" s="209"/>
      <c r="HG47" s="209"/>
      <c r="HH47" s="209"/>
      <c r="HI47" s="209"/>
      <c r="HJ47" s="209"/>
      <c r="HK47" s="209"/>
      <c r="HL47" s="209"/>
      <c r="HM47" s="209"/>
      <c r="HN47" s="204"/>
      <c r="HO47" s="204"/>
      <c r="HP47" s="209"/>
      <c r="HQ47" s="209"/>
      <c r="HR47" s="209"/>
      <c r="HS47" s="209"/>
      <c r="HT47" s="209"/>
      <c r="HU47" s="209"/>
      <c r="HV47" s="209"/>
      <c r="HW47" s="209"/>
      <c r="HX47" s="209"/>
      <c r="HY47" s="209"/>
      <c r="HZ47" s="209"/>
      <c r="IA47" s="204"/>
      <c r="IB47" s="204"/>
      <c r="IC47" s="209"/>
      <c r="ID47" s="209"/>
      <c r="IE47" s="209"/>
      <c r="IF47" s="209"/>
      <c r="IG47" s="209"/>
      <c r="IH47" s="209"/>
      <c r="II47" s="209"/>
      <c r="IJ47" s="209"/>
      <c r="IK47" s="209"/>
      <c r="IL47" s="209"/>
      <c r="IM47" s="209"/>
      <c r="IN47" s="204"/>
      <c r="IO47" s="204"/>
      <c r="IP47" s="209"/>
      <c r="IQ47" s="209"/>
      <c r="IR47" s="209"/>
      <c r="IS47" s="209"/>
      <c r="IT47" s="209"/>
      <c r="IU47" s="209"/>
      <c r="IV47" s="209"/>
    </row>
    <row r="48" spans="1:256" x14ac:dyDescent="0.2">
      <c r="A48" s="215"/>
      <c r="B48" s="216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08"/>
      <c r="O48" s="208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04"/>
      <c r="AB48" s="204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4"/>
      <c r="AO48" s="204"/>
      <c r="AP48" s="209"/>
      <c r="AQ48" s="209"/>
      <c r="AR48" s="209"/>
      <c r="AS48" s="209"/>
      <c r="AT48" s="209"/>
      <c r="AU48" s="209"/>
      <c r="AV48" s="209"/>
      <c r="AW48" s="209"/>
      <c r="AX48" s="209"/>
      <c r="AY48" s="209"/>
      <c r="AZ48" s="209"/>
      <c r="BA48" s="204"/>
      <c r="BB48" s="204"/>
      <c r="BC48" s="209"/>
      <c r="BD48" s="209"/>
      <c r="BE48" s="209"/>
      <c r="BF48" s="209"/>
      <c r="BG48" s="209"/>
      <c r="BH48" s="209"/>
      <c r="BI48" s="209"/>
      <c r="BJ48" s="209"/>
      <c r="BK48" s="209"/>
      <c r="BL48" s="209"/>
      <c r="BM48" s="209"/>
      <c r="BN48" s="204"/>
      <c r="BO48" s="204"/>
      <c r="BP48" s="209"/>
      <c r="BQ48" s="209"/>
      <c r="BR48" s="209"/>
      <c r="BS48" s="209"/>
      <c r="BT48" s="209"/>
      <c r="BU48" s="209"/>
      <c r="BV48" s="209"/>
      <c r="BW48" s="209"/>
      <c r="BX48" s="209"/>
      <c r="BY48" s="209"/>
      <c r="BZ48" s="209"/>
      <c r="CA48" s="204"/>
      <c r="CB48" s="204"/>
      <c r="CC48" s="209"/>
      <c r="CD48" s="209"/>
      <c r="CE48" s="209"/>
      <c r="CF48" s="209"/>
      <c r="CG48" s="209"/>
      <c r="CH48" s="209"/>
      <c r="CI48" s="209"/>
      <c r="CJ48" s="209"/>
      <c r="CK48" s="209"/>
      <c r="CL48" s="209"/>
      <c r="CM48" s="209"/>
      <c r="CN48" s="204"/>
      <c r="CO48" s="204"/>
      <c r="CP48" s="209"/>
      <c r="CQ48" s="209"/>
      <c r="CR48" s="209"/>
      <c r="CS48" s="209"/>
      <c r="CT48" s="209"/>
      <c r="CU48" s="209"/>
      <c r="CV48" s="209"/>
      <c r="CW48" s="209"/>
      <c r="CX48" s="209"/>
      <c r="CY48" s="209"/>
      <c r="CZ48" s="209"/>
      <c r="DA48" s="204"/>
      <c r="DB48" s="204"/>
      <c r="DC48" s="209"/>
      <c r="DD48" s="209"/>
      <c r="DE48" s="209"/>
      <c r="DF48" s="209"/>
      <c r="DG48" s="209"/>
      <c r="DH48" s="209"/>
      <c r="DI48" s="209"/>
      <c r="DJ48" s="209"/>
      <c r="DK48" s="209"/>
      <c r="DL48" s="209"/>
      <c r="DM48" s="209"/>
      <c r="DN48" s="204"/>
      <c r="DO48" s="204"/>
      <c r="DP48" s="209"/>
      <c r="DQ48" s="209"/>
      <c r="DR48" s="209"/>
      <c r="DS48" s="209"/>
      <c r="DT48" s="209"/>
      <c r="DU48" s="209"/>
      <c r="DV48" s="209"/>
      <c r="DW48" s="209"/>
      <c r="DX48" s="209"/>
      <c r="DY48" s="209"/>
      <c r="DZ48" s="209"/>
      <c r="EA48" s="204"/>
      <c r="EB48" s="204"/>
      <c r="EC48" s="209"/>
      <c r="ED48" s="209"/>
      <c r="EE48" s="209"/>
      <c r="EF48" s="209"/>
      <c r="EG48" s="209"/>
      <c r="EH48" s="209"/>
      <c r="EI48" s="209"/>
      <c r="EJ48" s="209"/>
      <c r="EK48" s="209"/>
      <c r="EL48" s="209"/>
      <c r="EM48" s="209"/>
      <c r="EN48" s="204"/>
      <c r="EO48" s="204"/>
      <c r="EP48" s="209"/>
      <c r="EQ48" s="209"/>
      <c r="ER48" s="209"/>
      <c r="ES48" s="209"/>
      <c r="ET48" s="209"/>
      <c r="EU48" s="209"/>
      <c r="EV48" s="209"/>
      <c r="EW48" s="209"/>
      <c r="EX48" s="209"/>
      <c r="EY48" s="209"/>
      <c r="EZ48" s="209"/>
      <c r="FA48" s="204"/>
      <c r="FB48" s="204"/>
      <c r="FC48" s="209"/>
      <c r="FD48" s="209"/>
      <c r="FE48" s="209"/>
      <c r="FF48" s="209"/>
      <c r="FG48" s="209"/>
      <c r="FH48" s="209"/>
      <c r="FI48" s="209"/>
      <c r="FJ48" s="209"/>
      <c r="FK48" s="209"/>
      <c r="FL48" s="209"/>
      <c r="FM48" s="209"/>
      <c r="FN48" s="204"/>
      <c r="FO48" s="204"/>
      <c r="FP48" s="209"/>
      <c r="FQ48" s="209"/>
      <c r="FR48" s="209"/>
      <c r="FS48" s="209"/>
      <c r="FT48" s="209"/>
      <c r="FU48" s="209"/>
      <c r="FV48" s="209"/>
      <c r="FW48" s="209"/>
      <c r="FX48" s="209"/>
      <c r="FY48" s="209"/>
      <c r="FZ48" s="209"/>
      <c r="GA48" s="204"/>
      <c r="GB48" s="204"/>
      <c r="GC48" s="209"/>
      <c r="GD48" s="209"/>
      <c r="GE48" s="209"/>
      <c r="GF48" s="209"/>
      <c r="GG48" s="209"/>
      <c r="GH48" s="209"/>
      <c r="GI48" s="209"/>
      <c r="GJ48" s="209"/>
      <c r="GK48" s="209"/>
      <c r="GL48" s="209"/>
      <c r="GM48" s="209"/>
      <c r="GN48" s="204"/>
      <c r="GO48" s="204"/>
      <c r="GP48" s="209"/>
      <c r="GQ48" s="209"/>
      <c r="GR48" s="209"/>
      <c r="GS48" s="209"/>
      <c r="GT48" s="209"/>
      <c r="GU48" s="209"/>
      <c r="GV48" s="209"/>
      <c r="GW48" s="209"/>
      <c r="GX48" s="209"/>
      <c r="GY48" s="209"/>
      <c r="GZ48" s="209"/>
      <c r="HA48" s="204"/>
      <c r="HB48" s="204"/>
      <c r="HC48" s="209"/>
      <c r="HD48" s="209"/>
      <c r="HE48" s="209"/>
      <c r="HF48" s="209"/>
      <c r="HG48" s="209"/>
      <c r="HH48" s="209"/>
      <c r="HI48" s="209"/>
      <c r="HJ48" s="209"/>
      <c r="HK48" s="209"/>
      <c r="HL48" s="209"/>
      <c r="HM48" s="209"/>
      <c r="HN48" s="204"/>
      <c r="HO48" s="204"/>
      <c r="HP48" s="209"/>
      <c r="HQ48" s="209"/>
      <c r="HR48" s="209"/>
      <c r="HS48" s="209"/>
      <c r="HT48" s="209"/>
      <c r="HU48" s="209"/>
      <c r="HV48" s="209"/>
      <c r="HW48" s="209"/>
      <c r="HX48" s="209"/>
      <c r="HY48" s="209"/>
      <c r="HZ48" s="209"/>
      <c r="IA48" s="204"/>
      <c r="IB48" s="204"/>
      <c r="IC48" s="209"/>
      <c r="ID48" s="209"/>
      <c r="IE48" s="209"/>
      <c r="IF48" s="209"/>
      <c r="IG48" s="209"/>
      <c r="IH48" s="209"/>
      <c r="II48" s="209"/>
      <c r="IJ48" s="209"/>
      <c r="IK48" s="209"/>
      <c r="IL48" s="209"/>
      <c r="IM48" s="209"/>
      <c r="IN48" s="204"/>
      <c r="IO48" s="204"/>
      <c r="IP48" s="209"/>
      <c r="IQ48" s="209"/>
      <c r="IR48" s="209"/>
      <c r="IS48" s="209"/>
      <c r="IT48" s="209"/>
      <c r="IU48" s="209"/>
      <c r="IV48" s="209"/>
    </row>
    <row r="49" spans="1:256" x14ac:dyDescent="0.2">
      <c r="A49" s="215"/>
      <c r="B49" s="216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08"/>
      <c r="O49" s="208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04"/>
      <c r="AB49" s="204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4"/>
      <c r="AO49" s="204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  <c r="BA49" s="204"/>
      <c r="BB49" s="204"/>
      <c r="BC49" s="209"/>
      <c r="BD49" s="209"/>
      <c r="BE49" s="209"/>
      <c r="BF49" s="209"/>
      <c r="BG49" s="209"/>
      <c r="BH49" s="209"/>
      <c r="BI49" s="209"/>
      <c r="BJ49" s="209"/>
      <c r="BK49" s="209"/>
      <c r="BL49" s="209"/>
      <c r="BM49" s="209"/>
      <c r="BN49" s="204"/>
      <c r="BO49" s="204"/>
      <c r="BP49" s="209"/>
      <c r="BQ49" s="209"/>
      <c r="BR49" s="209"/>
      <c r="BS49" s="209"/>
      <c r="BT49" s="209"/>
      <c r="BU49" s="209"/>
      <c r="BV49" s="209"/>
      <c r="BW49" s="209"/>
      <c r="BX49" s="209"/>
      <c r="BY49" s="209"/>
      <c r="BZ49" s="209"/>
      <c r="CA49" s="204"/>
      <c r="CB49" s="204"/>
      <c r="CC49" s="209"/>
      <c r="CD49" s="209"/>
      <c r="CE49" s="209"/>
      <c r="CF49" s="209"/>
      <c r="CG49" s="209"/>
      <c r="CH49" s="209"/>
      <c r="CI49" s="209"/>
      <c r="CJ49" s="209"/>
      <c r="CK49" s="209"/>
      <c r="CL49" s="209"/>
      <c r="CM49" s="209"/>
      <c r="CN49" s="204"/>
      <c r="CO49" s="204"/>
      <c r="CP49" s="209"/>
      <c r="CQ49" s="209"/>
      <c r="CR49" s="209"/>
      <c r="CS49" s="209"/>
      <c r="CT49" s="209"/>
      <c r="CU49" s="209"/>
      <c r="CV49" s="209"/>
      <c r="CW49" s="209"/>
      <c r="CX49" s="209"/>
      <c r="CY49" s="209"/>
      <c r="CZ49" s="209"/>
      <c r="DA49" s="204"/>
      <c r="DB49" s="204"/>
      <c r="DC49" s="209"/>
      <c r="DD49" s="209"/>
      <c r="DE49" s="209"/>
      <c r="DF49" s="209"/>
      <c r="DG49" s="209"/>
      <c r="DH49" s="209"/>
      <c r="DI49" s="209"/>
      <c r="DJ49" s="209"/>
      <c r="DK49" s="209"/>
      <c r="DL49" s="209"/>
      <c r="DM49" s="209"/>
      <c r="DN49" s="204"/>
      <c r="DO49" s="204"/>
      <c r="DP49" s="209"/>
      <c r="DQ49" s="209"/>
      <c r="DR49" s="209"/>
      <c r="DS49" s="209"/>
      <c r="DT49" s="209"/>
      <c r="DU49" s="209"/>
      <c r="DV49" s="209"/>
      <c r="DW49" s="209"/>
      <c r="DX49" s="209"/>
      <c r="DY49" s="209"/>
      <c r="DZ49" s="209"/>
      <c r="EA49" s="204"/>
      <c r="EB49" s="204"/>
      <c r="EC49" s="209"/>
      <c r="ED49" s="209"/>
      <c r="EE49" s="209"/>
      <c r="EF49" s="209"/>
      <c r="EG49" s="209"/>
      <c r="EH49" s="209"/>
      <c r="EI49" s="209"/>
      <c r="EJ49" s="209"/>
      <c r="EK49" s="209"/>
      <c r="EL49" s="209"/>
      <c r="EM49" s="209"/>
      <c r="EN49" s="204"/>
      <c r="EO49" s="204"/>
      <c r="EP49" s="209"/>
      <c r="EQ49" s="209"/>
      <c r="ER49" s="209"/>
      <c r="ES49" s="209"/>
      <c r="ET49" s="209"/>
      <c r="EU49" s="209"/>
      <c r="EV49" s="209"/>
      <c r="EW49" s="209"/>
      <c r="EX49" s="209"/>
      <c r="EY49" s="209"/>
      <c r="EZ49" s="209"/>
      <c r="FA49" s="204"/>
      <c r="FB49" s="204"/>
      <c r="FC49" s="209"/>
      <c r="FD49" s="209"/>
      <c r="FE49" s="209"/>
      <c r="FF49" s="209"/>
      <c r="FG49" s="209"/>
      <c r="FH49" s="209"/>
      <c r="FI49" s="209"/>
      <c r="FJ49" s="209"/>
      <c r="FK49" s="209"/>
      <c r="FL49" s="209"/>
      <c r="FM49" s="209"/>
      <c r="FN49" s="204"/>
      <c r="FO49" s="204"/>
      <c r="FP49" s="209"/>
      <c r="FQ49" s="209"/>
      <c r="FR49" s="209"/>
      <c r="FS49" s="209"/>
      <c r="FT49" s="209"/>
      <c r="FU49" s="209"/>
      <c r="FV49" s="209"/>
      <c r="FW49" s="209"/>
      <c r="FX49" s="209"/>
      <c r="FY49" s="209"/>
      <c r="FZ49" s="209"/>
      <c r="GA49" s="204"/>
      <c r="GB49" s="204"/>
      <c r="GC49" s="209"/>
      <c r="GD49" s="209"/>
      <c r="GE49" s="209"/>
      <c r="GF49" s="209"/>
      <c r="GG49" s="209"/>
      <c r="GH49" s="209"/>
      <c r="GI49" s="209"/>
      <c r="GJ49" s="209"/>
      <c r="GK49" s="209"/>
      <c r="GL49" s="209"/>
      <c r="GM49" s="209"/>
      <c r="GN49" s="204"/>
      <c r="GO49" s="204"/>
      <c r="GP49" s="209"/>
      <c r="GQ49" s="209"/>
      <c r="GR49" s="209"/>
      <c r="GS49" s="209"/>
      <c r="GT49" s="209"/>
      <c r="GU49" s="209"/>
      <c r="GV49" s="209"/>
      <c r="GW49" s="209"/>
      <c r="GX49" s="209"/>
      <c r="GY49" s="209"/>
      <c r="GZ49" s="209"/>
      <c r="HA49" s="204"/>
      <c r="HB49" s="204"/>
      <c r="HC49" s="209"/>
      <c r="HD49" s="209"/>
      <c r="HE49" s="209"/>
      <c r="HF49" s="209"/>
      <c r="HG49" s="209"/>
      <c r="HH49" s="209"/>
      <c r="HI49" s="209"/>
      <c r="HJ49" s="209"/>
      <c r="HK49" s="209"/>
      <c r="HL49" s="209"/>
      <c r="HM49" s="209"/>
      <c r="HN49" s="204"/>
      <c r="HO49" s="204"/>
      <c r="HP49" s="209"/>
      <c r="HQ49" s="209"/>
      <c r="HR49" s="209"/>
      <c r="HS49" s="209"/>
      <c r="HT49" s="209"/>
      <c r="HU49" s="209"/>
      <c r="HV49" s="209"/>
      <c r="HW49" s="209"/>
      <c r="HX49" s="209"/>
      <c r="HY49" s="209"/>
      <c r="HZ49" s="209"/>
      <c r="IA49" s="204"/>
      <c r="IB49" s="204"/>
      <c r="IC49" s="209"/>
      <c r="ID49" s="209"/>
      <c r="IE49" s="209"/>
      <c r="IF49" s="209"/>
      <c r="IG49" s="209"/>
      <c r="IH49" s="209"/>
      <c r="II49" s="209"/>
      <c r="IJ49" s="209"/>
      <c r="IK49" s="209"/>
      <c r="IL49" s="209"/>
      <c r="IM49" s="209"/>
      <c r="IN49" s="204"/>
      <c r="IO49" s="204"/>
      <c r="IP49" s="209"/>
      <c r="IQ49" s="209"/>
      <c r="IR49" s="209"/>
      <c r="IS49" s="209"/>
      <c r="IT49" s="209"/>
      <c r="IU49" s="209"/>
      <c r="IV49" s="209"/>
    </row>
    <row r="50" spans="1:256" x14ac:dyDescent="0.2">
      <c r="A50" s="215"/>
      <c r="B50" s="216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5"/>
      <c r="B51" s="216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5"/>
      <c r="B52" s="216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5"/>
      <c r="B53" s="216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5"/>
      <c r="B54" s="216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5"/>
      <c r="B55" s="216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5"/>
      <c r="B56" s="216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5"/>
      <c r="B57" s="216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5"/>
      <c r="B58" s="216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5"/>
      <c r="B59" s="216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5"/>
      <c r="B60" s="216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5"/>
      <c r="B61" s="216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5"/>
      <c r="B62" s="216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5"/>
      <c r="B63" s="216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5"/>
      <c r="B64" s="216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5"/>
      <c r="B65" s="216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5"/>
      <c r="B66" s="216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5"/>
      <c r="B67" s="216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5"/>
      <c r="B68" s="216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5"/>
      <c r="B69" s="216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17"/>
      <c r="B70" s="218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5"/>
      <c r="B71" s="205"/>
      <c r="C71" s="206"/>
      <c r="D71" s="206"/>
      <c r="E71" s="206"/>
      <c r="F71" s="206"/>
      <c r="G71" s="206"/>
      <c r="H71" s="206"/>
      <c r="I71" s="206"/>
      <c r="J71" s="206"/>
      <c r="K71" s="206"/>
      <c r="L71" s="206"/>
    </row>
    <row r="72" spans="1:13" ht="12.75" x14ac:dyDescent="0.2">
      <c r="A72" s="285" t="s">
        <v>848</v>
      </c>
      <c r="B72" s="285"/>
      <c r="C72" s="285"/>
      <c r="D72" s="285"/>
      <c r="E72" s="285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7" t="s">
        <v>768</v>
      </c>
      <c r="B73" s="207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08"/>
      <c r="B74" s="208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08"/>
      <c r="B75" s="208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08"/>
      <c r="B76" s="208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08"/>
      <c r="B77" s="208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08"/>
      <c r="B78" s="208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08"/>
      <c r="B79" s="208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08"/>
      <c r="B80" s="208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08"/>
      <c r="B81" s="208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08"/>
      <c r="B82" s="208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08"/>
      <c r="B83" s="208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08"/>
      <c r="B84" s="208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08"/>
      <c r="B85" s="208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08"/>
      <c r="B86" s="208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08"/>
      <c r="B87" s="208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08"/>
      <c r="B88" s="208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08"/>
      <c r="B89" s="208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08"/>
      <c r="B90" s="208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2013-10-07T14:52:54Z</cp:lastPrinted>
  <dcterms:created xsi:type="dcterms:W3CDTF">1997-12-04T19:04:30Z</dcterms:created>
  <dcterms:modified xsi:type="dcterms:W3CDTF">2013-10-07T14:56:15Z</dcterms:modified>
</cp:coreProperties>
</file>