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E8" i="13" s="1"/>
  <c r="C8" i="13" s="1"/>
  <c r="L239" i="1"/>
  <c r="D39" i="13"/>
  <c r="F13" i="13"/>
  <c r="G13" i="13"/>
  <c r="E13" i="13" s="1"/>
  <c r="C13" i="13" s="1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D7" i="13" s="1"/>
  <c r="C7" i="13" s="1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D126" i="2" s="1"/>
  <c r="D127" i="2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L281" i="1"/>
  <c r="E118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5" i="10"/>
  <c r="C17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F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E14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I551" i="1" s="1"/>
  <c r="L536" i="1"/>
  <c r="I549" i="1" s="1"/>
  <c r="L537" i="1"/>
  <c r="I550" i="1" s="1"/>
  <c r="L540" i="1"/>
  <c r="J548" i="1" s="1"/>
  <c r="L541" i="1"/>
  <c r="J549" i="1" s="1"/>
  <c r="L542" i="1"/>
  <c r="J550" i="1" s="1"/>
  <c r="J551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2" i="2"/>
  <c r="E112" i="2"/>
  <c r="C113" i="2"/>
  <c r="E113" i="2"/>
  <c r="D114" i="2"/>
  <c r="F114" i="2"/>
  <c r="G114" i="2"/>
  <c r="C117" i="2"/>
  <c r="E117" i="2"/>
  <c r="C118" i="2"/>
  <c r="E119" i="2"/>
  <c r="E120" i="2"/>
  <c r="C121" i="2"/>
  <c r="E121" i="2"/>
  <c r="E122" i="2"/>
  <c r="C124" i="2"/>
  <c r="E124" i="2"/>
  <c r="F127" i="2"/>
  <c r="G127" i="2"/>
  <c r="E129" i="2"/>
  <c r="F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622" i="1" s="1"/>
  <c r="H50" i="1"/>
  <c r="G623" i="1" s="1"/>
  <c r="I50" i="1"/>
  <c r="I51" i="1" s="1"/>
  <c r="H619" i="1" s="1"/>
  <c r="F176" i="1"/>
  <c r="I176" i="1"/>
  <c r="F182" i="1"/>
  <c r="F191" i="1" s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F459" i="1"/>
  <c r="G459" i="1"/>
  <c r="H459" i="1"/>
  <c r="I459" i="1"/>
  <c r="F460" i="1"/>
  <c r="G460" i="1"/>
  <c r="H639" i="1" s="1"/>
  <c r="H460" i="1"/>
  <c r="F469" i="1"/>
  <c r="G469" i="1"/>
  <c r="H469" i="1"/>
  <c r="I469" i="1"/>
  <c r="J469" i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G544" i="1" s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I544" i="1" s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1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2" i="1"/>
  <c r="H642" i="1"/>
  <c r="G643" i="1"/>
  <c r="G644" i="1"/>
  <c r="H644" i="1"/>
  <c r="G648" i="1"/>
  <c r="G649" i="1"/>
  <c r="G650" i="1"/>
  <c r="G651" i="1"/>
  <c r="H651" i="1"/>
  <c r="G652" i="1"/>
  <c r="H652" i="1"/>
  <c r="G653" i="1"/>
  <c r="H653" i="1"/>
  <c r="H654" i="1"/>
  <c r="G163" i="2"/>
  <c r="C18" i="2"/>
  <c r="F31" i="2"/>
  <c r="C26" i="10"/>
  <c r="L327" i="1"/>
  <c r="L350" i="1"/>
  <c r="A31" i="12"/>
  <c r="C69" i="2"/>
  <c r="G161" i="2"/>
  <c r="E49" i="2"/>
  <c r="D18" i="13"/>
  <c r="C18" i="13" s="1"/>
  <c r="D15" i="13"/>
  <c r="C15" i="13" s="1"/>
  <c r="F102" i="2"/>
  <c r="D17" i="13"/>
  <c r="C17" i="13" s="1"/>
  <c r="D6" i="13"/>
  <c r="C6" i="13" s="1"/>
  <c r="G158" i="2"/>
  <c r="C90" i="2"/>
  <c r="G80" i="2"/>
  <c r="F77" i="2"/>
  <c r="F80" i="2" s="1"/>
  <c r="F61" i="2"/>
  <c r="F62" i="2" s="1"/>
  <c r="C77" i="2"/>
  <c r="C80" i="2" s="1"/>
  <c r="D49" i="2"/>
  <c r="G156" i="2"/>
  <c r="F49" i="2"/>
  <c r="F50" i="2" s="1"/>
  <c r="F18" i="2"/>
  <c r="G162" i="2"/>
  <c r="G160" i="2"/>
  <c r="G157" i="2"/>
  <c r="G102" i="2"/>
  <c r="E102" i="2"/>
  <c r="C102" i="2"/>
  <c r="D90" i="2"/>
  <c r="F90" i="2"/>
  <c r="E61" i="2"/>
  <c r="E62" i="2" s="1"/>
  <c r="E31" i="2"/>
  <c r="G61" i="2"/>
  <c r="D19" i="13"/>
  <c r="C19" i="13" s="1"/>
  <c r="D14" i="13"/>
  <c r="C14" i="13" s="1"/>
  <c r="E77" i="2"/>
  <c r="E80" i="2" s="1"/>
  <c r="J640" i="1"/>
  <c r="J638" i="1"/>
  <c r="J570" i="1"/>
  <c r="K570" i="1"/>
  <c r="L432" i="1"/>
  <c r="L418" i="1"/>
  <c r="D80" i="2"/>
  <c r="I168" i="1"/>
  <c r="H168" i="1"/>
  <c r="J642" i="1"/>
  <c r="J475" i="1"/>
  <c r="H625" i="1" s="1"/>
  <c r="I475" i="1"/>
  <c r="H624" i="1" s="1"/>
  <c r="J624" i="1" s="1"/>
  <c r="F168" i="1"/>
  <c r="J139" i="1"/>
  <c r="F570" i="1"/>
  <c r="K549" i="1"/>
  <c r="G22" i="2"/>
  <c r="K544" i="1"/>
  <c r="C29" i="10"/>
  <c r="H139" i="1"/>
  <c r="L400" i="1"/>
  <c r="C138" i="2" s="1"/>
  <c r="L392" i="1"/>
  <c r="F22" i="13"/>
  <c r="C22" i="13" s="1"/>
  <c r="H25" i="13"/>
  <c r="C25" i="13" s="1"/>
  <c r="H570" i="1"/>
  <c r="L559" i="1"/>
  <c r="H337" i="1"/>
  <c r="H351" i="1" s="1"/>
  <c r="F337" i="1"/>
  <c r="F351" i="1" s="1"/>
  <c r="G191" i="1"/>
  <c r="H191" i="1"/>
  <c r="F551" i="1"/>
  <c r="C35" i="10"/>
  <c r="L308" i="1"/>
  <c r="E16" i="13"/>
  <c r="C49" i="2"/>
  <c r="J654" i="1"/>
  <c r="J644" i="1"/>
  <c r="L569" i="1"/>
  <c r="I570" i="1"/>
  <c r="J635" i="1"/>
  <c r="G36" i="2"/>
  <c r="C137" i="2"/>
  <c r="C16" i="13"/>
  <c r="H544" i="1" l="1"/>
  <c r="A40" i="12"/>
  <c r="J643" i="1"/>
  <c r="H646" i="1"/>
  <c r="J650" i="1"/>
  <c r="I256" i="1"/>
  <c r="I270" i="1" s="1"/>
  <c r="L246" i="1"/>
  <c r="H659" i="1"/>
  <c r="C123" i="2"/>
  <c r="G661" i="1"/>
  <c r="I661" i="1"/>
  <c r="C21" i="10"/>
  <c r="C10" i="10"/>
  <c r="K256" i="1"/>
  <c r="L613" i="1"/>
  <c r="K597" i="1"/>
  <c r="G646" i="1" s="1"/>
  <c r="J648" i="1"/>
  <c r="L543" i="1"/>
  <c r="H551" i="1"/>
  <c r="K550" i="1"/>
  <c r="J544" i="1"/>
  <c r="L533" i="1"/>
  <c r="K548" i="1"/>
  <c r="L523" i="1"/>
  <c r="K502" i="1"/>
  <c r="K499" i="1"/>
  <c r="G475" i="1"/>
  <c r="H622" i="1" s="1"/>
  <c r="F475" i="1"/>
  <c r="H621" i="1" s="1"/>
  <c r="J621" i="1" s="1"/>
  <c r="J639" i="1"/>
  <c r="I451" i="1"/>
  <c r="I460" i="1" s="1"/>
  <c r="H641" i="1" s="1"/>
  <c r="J641" i="1" s="1"/>
  <c r="I445" i="1"/>
  <c r="G641" i="1" s="1"/>
  <c r="J633" i="1"/>
  <c r="L361" i="1"/>
  <c r="D29" i="13"/>
  <c r="C29" i="13" s="1"/>
  <c r="H660" i="1"/>
  <c r="G660" i="1"/>
  <c r="D144" i="2"/>
  <c r="K351" i="1"/>
  <c r="E123" i="2"/>
  <c r="E127" i="2"/>
  <c r="C16" i="10"/>
  <c r="C13" i="10"/>
  <c r="J337" i="1"/>
  <c r="J351" i="1" s="1"/>
  <c r="L289" i="1"/>
  <c r="E108" i="2"/>
  <c r="E114" i="2" s="1"/>
  <c r="E144" i="2" s="1"/>
  <c r="H33" i="13"/>
  <c r="K270" i="1"/>
  <c r="J646" i="1"/>
  <c r="H256" i="1"/>
  <c r="H270" i="1" s="1"/>
  <c r="G256" i="1"/>
  <c r="G270" i="1" s="1"/>
  <c r="F256" i="1"/>
  <c r="F270" i="1" s="1"/>
  <c r="C119" i="2"/>
  <c r="C11" i="10"/>
  <c r="L228" i="1"/>
  <c r="G659" i="1" s="1"/>
  <c r="C122" i="2"/>
  <c r="D12" i="13"/>
  <c r="C12" i="13" s="1"/>
  <c r="C18" i="10"/>
  <c r="E33" i="13"/>
  <c r="D35" i="13" s="1"/>
  <c r="C109" i="2"/>
  <c r="L210" i="1"/>
  <c r="F659" i="1" s="1"/>
  <c r="F663" i="1" s="1"/>
  <c r="F671" i="1" s="1"/>
  <c r="C4" i="10" s="1"/>
  <c r="D5" i="13"/>
  <c r="C5" i="13" s="1"/>
  <c r="C108" i="2"/>
  <c r="C61" i="2"/>
  <c r="C62" i="2"/>
  <c r="C103" i="2" s="1"/>
  <c r="J623" i="1"/>
  <c r="E50" i="2"/>
  <c r="J622" i="1"/>
  <c r="C31" i="2"/>
  <c r="C50" i="2" s="1"/>
  <c r="H51" i="1"/>
  <c r="H618" i="1" s="1"/>
  <c r="J618" i="1" s="1"/>
  <c r="G51" i="1"/>
  <c r="H617" i="1" s="1"/>
  <c r="F51" i="1"/>
  <c r="H616" i="1" s="1"/>
  <c r="J616" i="1" s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H647" i="1"/>
  <c r="J647" i="1" s="1"/>
  <c r="J651" i="1"/>
  <c r="G570" i="1"/>
  <c r="I433" i="1"/>
  <c r="G433" i="1"/>
  <c r="E103" i="2"/>
  <c r="I662" i="1"/>
  <c r="C27" i="10"/>
  <c r="G634" i="1"/>
  <c r="J634" i="1" s="1"/>
  <c r="H663" i="1" l="1"/>
  <c r="C127" i="2"/>
  <c r="K551" i="1"/>
  <c r="L544" i="1"/>
  <c r="G50" i="2"/>
  <c r="H671" i="1"/>
  <c r="C6" i="10" s="1"/>
  <c r="H666" i="1"/>
  <c r="I660" i="1"/>
  <c r="G663" i="1"/>
  <c r="G666" i="1" s="1"/>
  <c r="D31" i="13"/>
  <c r="C31" i="13" s="1"/>
  <c r="C28" i="10"/>
  <c r="D22" i="10" s="1"/>
  <c r="C114" i="2"/>
  <c r="L256" i="1"/>
  <c r="L270" i="1" s="1"/>
  <c r="G631" i="1" s="1"/>
  <c r="J631" i="1" s="1"/>
  <c r="I659" i="1"/>
  <c r="F666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C144" i="2" l="1"/>
  <c r="I663" i="1"/>
  <c r="I671" i="1" s="1"/>
  <c r="C7" i="10" s="1"/>
  <c r="G671" i="1"/>
  <c r="C5" i="10" s="1"/>
  <c r="D24" i="10"/>
  <c r="D16" i="10"/>
  <c r="D20" i="10"/>
  <c r="D26" i="10"/>
  <c r="D17" i="10"/>
  <c r="D27" i="10"/>
  <c r="D25" i="10"/>
  <c r="D18" i="10"/>
  <c r="C30" i="10"/>
  <c r="D19" i="10"/>
  <c r="D10" i="10"/>
  <c r="D15" i="10"/>
  <c r="D12" i="10"/>
  <c r="D23" i="10"/>
  <c r="D13" i="10"/>
  <c r="D11" i="10"/>
  <c r="D21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<sst xmlns="http://schemas.openxmlformats.org/spreadsheetml/2006/main" count="3947" uniqueCount="913">
  <si>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</si>
  <si>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</si>
  <si>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</si>
  <si>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</si>
  <si>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</si>
  <si>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</si>
  <si>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</si>
  <si>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</si>
  <si>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</si>
  <si>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</si>
  <si>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</si>
  <si>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</si>
  <si>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</si>
  <si>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</si>
  <si>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</si>
  <si>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</si>
  <si>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</si>
  <si>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</si>
  <si>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</si>
  <si>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</si>
  <si>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</si>
  <si>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</si>
  <si>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</si>
  <si>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</si>
  <si>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</si>
  <si>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</si>
  <si>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</si>
  <si>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</si>
  <si>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</si>
  <si>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</si>
  <si>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</si>
  <si>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</si>
  <si>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</si>
  <si>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</si>
  <si>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</si>
  <si>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</si>
  <si>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</si>
  <si>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</si>
  <si>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</si>
  <si>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</si>
  <si>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</si>
  <si>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</si>
  <si>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</si>
  <si>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</si>
  <si>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</si>
  <si>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</si>
  <si>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</si>
  <si>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</si>
  <si>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</si>
  <si>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</si>
  <si>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</si>
  <si>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</si>
  <si>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</si>
  <si>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</si>
  <si>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</si>
  <si>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</si>
  <si>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</si>
  <si>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</si>
  <si>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</si>
  <si>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</si>
  <si>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</si>
  <si>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</si>
  <si>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</si>
  <si>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</si>
  <si>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</si>
  <si>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</si>
  <si>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</si>
  <si>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</si>
  <si>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</si>
  <si>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</si>
  <si>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</si>
  <si>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</si>
  <si>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</si>
  <si>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</si>
  <si>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</si>
  <si>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</si>
  <si>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</si>
  <si>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</si>
  <si>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</si>
  <si>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</si>
  <si>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</si>
  <si>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</si>
  <si>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</si>
  <si>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</si>
  <si>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</si>
  <si>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</si>
  <si>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</si>
  <si>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</si>
  <si>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</si>
  <si>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</si>
  <si>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</si>
  <si>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</si>
  <si>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</si>
  <si>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</si>
  <si>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</si>
  <si>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</si>
  <si>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</si>
  <si>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</si>
  <si>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</si>
  <si>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</si>
  <si>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</si>
  <si>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</si>
  <si>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</si>
  <si>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</si>
  <si>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</si>
  <si>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</si>
  <si>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</si>
  <si>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</si>
  <si>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</si>
  <si>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</si>
  <si>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</si>
  <si>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</si>
  <si>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</si>
  <si>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</si>
  <si>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</si>
  <si>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</si>
  <si>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</si>
  <si>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</si>
  <si>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</si>
  <si>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</si>
  <si>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</si>
  <si>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</si>
  <si>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</si>
  <si>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</si>
  <si>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</si>
  <si>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</si>
  <si>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</si>
  <si>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</si>
  <si>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</si>
  <si>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</si>
  <si>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</si>
  <si>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</si>
  <si>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</si>
  <si>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</si>
  <si>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</si>
  <si>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</si>
  <si>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</si>
  <si>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</si>
  <si>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</si>
  <si>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</si>
  <si>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</si>
  <si>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</si>
  <si>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</si>
  <si>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</si>
  <si>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</si>
  <si>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</si>
  <si>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</si>
  <si>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</si>
  <si>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</si>
  <si>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</si>
  <si>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</si>
  <si>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</si>
  <si>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</si>
  <si>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</si>
  <si>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</si>
  <si>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</si>
  <si>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</si>
  <si>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</si>
  <si>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</si>
  <si>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</si>
  <si>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</si>
  <si>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</si>
  <si>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</si>
  <si>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</si>
  <si>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</si>
  <si>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</si>
  <si>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</si>
  <si>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</si>
  <si>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</si>
  <si>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</si>
  <si>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</si>
  <si>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</si>
  <si>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</si>
  <si>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</si>
  <si>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</si>
  <si>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</si>
  <si>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</si>
  <si>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</si>
  <si>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</si>
  <si>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</si>
  <si>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</si>
  <si>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</si>
  <si>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</si>
  <si>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</si>
  <si>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</si>
  <si>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</si>
  <si>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</si>
  <si>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</si>
  <si>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</si>
  <si>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</si>
  <si>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</si>
  <si>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</si>
  <si>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</si>
  <si>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</si>
  <si>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</si>
  <si>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</si>
  <si>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</si>
  <si>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</si>
  <si>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</si>
  <si>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</si>
  <si>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</si>
  <si>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</si>
  <si>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</si>
  <si>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</si>
  <si>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</si>
  <si>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</si>
  <si>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</si>
  <si>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</si>
  <si>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</si>
  <si>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</si>
  <si>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</si>
  <si>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</si>
  <si>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</si>
  <si>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</si>
  <si>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</si>
  <si>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</si>
  <si>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</si>
  <si>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</si>
  <si>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</si>
  <si>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</si>
  <si>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</si>
  <si>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</si>
  <si>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</si>
  <si>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</si>
  <si>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</si>
  <si>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</si>
  <si>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</si>
  <si>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</si>
  <si>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</si>
  <si>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</si>
  <si>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</si>
  <si>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</si>
  <si>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</si>
  <si>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</si>
  <si>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</si>
  <si>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</si>
  <si>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</si>
  <si>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</si>
  <si>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</si>
  <si>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</si>
  <si>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</si>
  <si>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</si>
  <si>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</si>
  <si>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</si>
  <si>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</si>
  <si>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</si>
  <si>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</si>
  <si>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</si>
  <si>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</si>
  <si>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</si>
  <si>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</si>
  <si>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</si>
  <si>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</si>
  <si>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</si>
  <si>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</si>
  <si>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</si>
  <si>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</si>
  <si>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</si>
  <si>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</si>
  <si>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</si>
  <si>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</si>
  <si>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</si>
  <si>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</si>
  <si>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</si>
  <si>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</si>
  <si>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</si>
  <si>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</si>
  <si>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</si>
  <si>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</si>
  <si>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</si>
  <si>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</si>
  <si>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</si>
  <si>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</si>
  <si>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</si>
  <si>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</si>
  <si>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</si>
  <si>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</si>
  <si>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</si>
  <si>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</si>
  <si>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</si>
  <si>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</si>
  <si>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</si>
  <si>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</si>
  <si>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</si>
  <si>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</si>
  <si>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</si>
  <si>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</si>
  <si>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</si>
  <si>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</si>
  <si>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</si>
  <si>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</si>
  <si>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</si>
  <si>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</si>
  <si>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</si>
  <si>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</si>
  <si>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</si>
  <si>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</si>
  <si>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</si>
  <si>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</si>
  <si>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</si>
  <si>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</si>
  <si>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</si>
  <si>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</si>
  <si>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</si>
  <si>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</si>
  <si>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</si>
  <si>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</si>
  <si>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</si>
  <si>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</si>
  <si>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</si>
  <si>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</si>
  <si>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</si>
  <si>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</si>
  <si>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</si>
  <si>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</si>
  <si>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</si>
  <si>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</si>
  <si>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</si>
  <si>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</si>
  <si>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</si>
  <si>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</si>
  <si>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</si>
  <si>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</si>
  <si>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</si>
  <si>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</si>
  <si>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</si>
  <si>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</si>
  <si>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</si>
  <si>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</si>
  <si>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</si>
  <si>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</si>
  <si>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</si>
  <si>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</si>
  <si>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</si>
  <si>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</si>
  <si>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</si>
  <si>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</si>
  <si>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</si>
  <si>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</si>
  <si>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</si>
  <si>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</si>
  <si>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</si>
  <si>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</si>
  <si>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</si>
  <si>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</si>
  <si>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</si>
  <si>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</si>
  <si>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</si>
  <si>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</si>
  <si>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</si>
  <si>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</si>
  <si>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</si>
  <si>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</si>
  <si>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</si>
  <si>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</si>
  <si>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</si>
  <si>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</si>
  <si>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</si>
  <si>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</si>
  <si>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</si>
  <si>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</si>
  <si>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</si>
  <si>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</si>
  <si>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</si>
  <si>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</si>
  <si>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</si>
  <si>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</si>
  <si>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</si>
  <si>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</si>
  <si>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</si>
  <si>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</si>
  <si>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</si>
  <si>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</si>
  <si>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</si>
  <si>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</si>
  <si>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</si>
  <si>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</si>
  <si>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</si>
  <si>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</si>
  <si>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</si>
  <si>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</si>
  <si>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</si>
  <si>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</si>
  <si>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</si>
  <si>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</si>
  <si>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</si>
  <si>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</si>
  <si>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</si>
  <si>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</si>
  <si>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</si>
  <si>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</si>
  <si>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</si>
  <si>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</si>
  <si>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</si>
  <si>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</si>
  <si>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</si>
  <si>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</si>
  <si>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</si>
  <si>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</si>
  <si>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</si>
  <si>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</si>
  <si>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</si>
  <si>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</si>
  <si>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</si>
  <si>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</si>
  <si>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</si>
  <si>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</si>
  <si>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</si>
  <si>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</si>
  <si>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</si>
  <si>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</si>
  <si>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</si>
  <si>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</si>
  <si>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</si>
  <si>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</si>
  <si>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</si>
  <si>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</si>
  <si>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</si>
  <si>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</si>
  <si>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</si>
  <si>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</si>
  <si>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</si>
  <si>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</si>
  <si>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</si>
  <si>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</si>
  <si>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</si>
  <si>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</si>
  <si>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</si>
  <si>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</si>
  <si>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</si>
  <si>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</si>
  <si>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</si>
  <si>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</si>
  <si>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</si>
  <si>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</si>
  <si>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</si>
  <si>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</si>
  <si>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</si>
  <si>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</si>
  <si>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</si>
  <si>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</si>
  <si>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</si>
  <si>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</si>
  <si>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</si>
  <si>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</si>
  <si>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</si>
  <si>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</si>
  <si>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</si>
  <si>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</si>
  <si>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</si>
  <si>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</si>
  <si>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</si>
  <si>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</si>
  <si>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</si>
  <si>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</si>
  <si>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</si>
  <si>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</si>
  <si>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</si>
  <si>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</si>
  <si>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</si>
  <si>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</si>
  <si>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</si>
  <si>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</si>
  <si>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</si>
  <si>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</si>
  <si>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</si>
  <si>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</si>
  <si>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</si>
  <si>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</si>
  <si>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</si>
  <si>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</si>
  <si>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</si>
  <si>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</si>
  <si>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</si>
  <si>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</si>
  <si>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</si>
  <si>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</si>
  <si>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</si>
  <si>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</si>
  <si>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</si>
  <si>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</si>
  <si>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</si>
  <si>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</si>
  <si>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</si>
  <si>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</si>
  <si>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</si>
  <si>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</si>
  <si>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</si>
  <si>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</si>
  <si>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</si>
  <si>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</si>
  <si>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</si>
  <si>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</si>
  <si>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</si>
  <si>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</si>
  <si>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</si>
  <si>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</si>
  <si>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</si>
  <si>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</si>
  <si>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</si>
  <si>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</si>
  <si>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</si>
  <si>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</si>
  <si>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</si>
  <si>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</si>
  <si>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</si>
  <si>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</si>
  <si>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</si>
  <si>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</si>
  <si>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</si>
  <si>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</si>
  <si>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</si>
  <si>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</si>
  <si>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</si>
  <si>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</si>
  <si>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</si>
  <si>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</si>
  <si>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</si>
  <si>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</si>
  <si>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</si>
  <si>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</si>
  <si>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</si>
  <si>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</si>
  <si>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</si>
  <si>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</si>
  <si>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</si>
  <si>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</si>
  <si>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</si>
  <si>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</si>
  <si>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</si>
  <si>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</si>
  <si>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</si>
  <si>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</si>
  <si>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</si>
  <si>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</si>
  <si>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</si>
  <si>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</si>
  <si>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</si>
  <si>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</si>
  <si>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</si>
  <si>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</si>
  <si>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</si>
  <si>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</si>
  <si>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</si>
  <si>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</si>
  <si>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</si>
  <si>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</si>
  <si>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</si>
  <si>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</si>
  <si>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</si>
  <si>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</si>
  <si>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</si>
  <si>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</si>
  <si>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</si>
  <si>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</si>
  <si>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</si>
  <si>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</si>
  <si>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</si>
  <si>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</si>
  <si>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</si>
  <si>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</si>
  <si>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</si>
  <si>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</si>
  <si>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</si>
  <si>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</si>
  <si>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</si>
  <si>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</si>
  <si>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</si>
  <si>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</si>
  <si>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</si>
  <si>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</si>
  <si>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</si>
  <si>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</si>
  <si>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</si>
  <si>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</si>
  <si>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</si>
  <si>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</si>
  <si>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</si>
  <si>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</si>
  <si>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</si>
  <si>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</si>
  <si>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</si>
  <si>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</si>
  <si>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</si>
  <si>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</si>
  <si>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</si>
  <si>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</si>
  <si>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</si>
  <si>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</si>
  <si>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</si>
  <si>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</si>
  <si>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</si>
  <si>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</si>
  <si>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</si>
  <si>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</si>
  <si>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</si>
  <si>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</si>
  <si>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</si>
  <si>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</si>
  <si>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</si>
  <si>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</si>
  <si>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</si>
  <si>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</si>
  <si>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</si>
  <si>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</si>
  <si>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</si>
  <si>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</si>
  <si>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</si>
  <si>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</si>
  <si>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</si>
  <si>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</si>
  <si>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</si>
  <si>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</si>
  <si>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</si>
  <si>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</si>
  <si>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</si>
  <si>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</si>
  <si>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</si>
  <si>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</si>
  <si>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</si>
  <si>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</si>
  <si>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</si>
  <si>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</si>
  <si>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</si>
  <si>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</si>
  <si>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</si>
  <si>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</si>
  <si>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</si>
  <si>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</si>
  <si>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</si>
  <si>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</si>
  <si>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</si>
  <si>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</si>
  <si>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</si>
  <si>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</si>
  <si>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</si>
  <si>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</si>
  <si>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</si>
  <si>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</si>
  <si>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</si>
  <si>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</si>
  <si>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</si>
  <si>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</si>
  <si>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</si>
  <si>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</si>
  <si>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</si>
  <si>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</si>
  <si>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</si>
  <si>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</si>
  <si>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</si>
  <si>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</si>
  <si>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</si>
  <si>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</si>
  <si>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</si>
  <si>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</si>
  <si>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</si>
  <si>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</si>
  <si>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</si>
  <si>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</si>
  <si>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</si>
  <si>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</si>
  <si>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</si>
  <si>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</si>
  <si>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</si>
  <si>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</si>
  <si>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</si>
  <si>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</si>
  <si>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</si>
  <si>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</si>
  <si>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</si>
  <si>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</si>
  <si>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</si>
  <si>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</si>
  <si>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</si>
  <si>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</si>
  <si>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</si>
  <si>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</si>
  <si>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</si>
  <si>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</si>
  <si>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</si>
  <si>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</si>
  <si>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</si>
  <si>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</si>
  <si>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</si>
  <si>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</si>
  <si>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</si>
  <si>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</si>
  <si>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</si>
  <si>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</si>
  <si>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</si>
  <si>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</si>
  <si>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</si>
  <si>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</si>
  <si>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</si>
  <si>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</si>
  <si>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</si>
  <si>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</si>
  <si>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</si>
  <si>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</si>
  <si>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</si>
  <si>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</si>
  <si>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</si>
  <si>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</si>
  <si>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</si>
  <si>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</si>
  <si>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</si>
  <si>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</si>
  <si>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</si>
  <si>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</si>
  <si>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</si>
  <si>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</si>
  <si>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</si>
  <si>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</si>
  <si>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</si>
  <si>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</si>
  <si>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</si>
  <si>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</si>
  <si>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</si>
  <si>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</si>
  <si>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</si>
  <si>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</si>
  <si>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</si>
  <si>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</si>
  <si>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</si>
  <si>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</si>
  <si>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</si>
  <si>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</si>
  <si>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</si>
  <si>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</si>
  <si>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</si>
  <si>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</si>
  <si>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</si>
  <si>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</si>
  <si>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</si>
  <si>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</si>
  <si>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</si>
  <si>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</si>
  <si>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</si>
  <si>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</si>
  <si>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</si>
  <si>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</si>
  <si>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</si>
  <si>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</si>
  <si>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</si>
  <si>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</si>
  <si>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</si>
  <si>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</si>
  <si>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</si>
  <si>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</si>
  <si>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</si>
  <si>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</si>
  <si>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</si>
  <si>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</si>
  <si>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</si>
  <si>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</si>
  <si>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</si>
  <si>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</si>
  <si>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</si>
  <si>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</si>
  <si>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</si>
  <si>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</si>
  <si>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</si>
  <si>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</si>
  <si>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</si>
  <si>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</si>
  <si>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</si>
  <si>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</si>
  <si>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</si>
  <si>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</si>
  <si>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</si>
  <si>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</si>
  <si>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</si>
  <si>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</si>
  <si>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</si>
  <si>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</si>
  <si>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</si>
  <si>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</si>
  <si>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</si>
  <si>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</si>
  <si>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</si>
  <si>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</si>
  <si>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</si>
  <si>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</si>
  <si>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</si>
  <si>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</si>
  <si>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</si>
  <si>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</si>
  <si>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</si>
  <si>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</si>
  <si>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</si>
  <si>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</si>
  <si>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</si>
  <si>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</si>
  <si>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</si>
  <si>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</si>
  <si>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</si>
  <si>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</si>
  <si>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</si>
  <si>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</si>
  <si>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</si>
  <si>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</si>
  <si>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</si>
  <si>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</si>
  <si>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</si>
  <si>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</si>
  <si>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</si>
  <si>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</si>
  <si>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</si>
  <si>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</si>
  <si>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</si>
  <si>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</si>
  <si>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</si>
  <si>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</si>
  <si>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</si>
  <si>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</si>
  <si>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</si>
  <si>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</si>
  <si>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</si>
  <si>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</si>
  <si>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</si>
  <si>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</si>
  <si>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</si>
  <si>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</si>
  <si>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</si>
  <si>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</si>
  <si>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</si>
  <si>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</si>
  <si>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</si>
  <si>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</si>
  <si>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</si>
  <si>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</si>
  <si>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</si>
  <si>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</si>
  <si>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</si>
  <si>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</si>
  <si>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</si>
  <si>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</si>
  <si>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</si>
  <si>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</si>
  <si>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</si>
  <si>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</si>
  <si>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</si>
  <si>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</si>
  <si>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</si>
  <si>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</si>
  <si>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</si>
  <si>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</si>
  <si>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</si>
  <si>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</si>
  <si>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</si>
  <si>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</si>
  <si>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</si>
  <si>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</si>
  <si>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</si>
  <si>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</si>
  <si>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</si>
  <si>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</si>
  <si>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</si>
  <si>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</si>
  <si>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</si>
  <si>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</si>
  <si>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</si>
  <si>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</si>
  <si>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</si>
  <si>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</si>
  <si>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</si>
  <si>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</si>
  <si>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</si>
  <si>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</si>
  <si>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</si>
  <si>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</si>
  <si>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</si>
  <si>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</si>
  <si>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</si>
  <si>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</si>
  <si>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</si>
  <si>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</si>
  <si>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</si>
  <si>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</si>
  <si>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</si>
  <si>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</si>
  <si>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</si>
  <si>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</si>
  <si>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</si>
  <si>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</si>
  <si>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</si>
  <si>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</si>
  <si>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</si>
  <si>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</si>
  <si>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</si>
  <si>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</si>
  <si>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</si>
  <si>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</si>
  <si>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</si>
  <si>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</si>
  <si>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</si>
  <si>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</si>
  <si>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</si>
  <si>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</si>
  <si>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</si>
  <si>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</si>
  <si>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</si>
  <si>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</si>
  <si>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</si>
  <si>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</si>
  <si>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</si>
  <si>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</si>
  <si>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</si>
  <si>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</si>
  <si>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12/96</t>
  </si>
  <si>
    <t>01/17</t>
  </si>
  <si>
    <t>RYE SCHOOL DISTRICT</t>
  </si>
  <si>
    <t>Decrease in food inventories.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</si>
</sst>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03" activePane="bottomRight" state="frozen"/>
      <selection pane="topRight" activeCell="F1" sqref="F1"/>
      <selection pane="bottomLeft" activeCell="A4" sqref="A4"/>
      <selection pane="bottomRight" activeCell="S629" sqref="S62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471</v>
      </c>
      <c r="C2" s="21">
        <v>471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470977.06</v>
      </c>
      <c r="G9" s="18"/>
      <c r="H9" s="18"/>
      <c r="I9" s="18"/>
      <c r="J9" s="67">
        <f>SUM(I438)</f>
        <v>381921.04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123544.02</v>
      </c>
      <c r="G12" s="18"/>
      <c r="H12" s="18">
        <v>13766.77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2273.09</v>
      </c>
      <c r="G13" s="18">
        <v>5229.96</v>
      </c>
      <c r="H13" s="18">
        <v>21068.92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1258.4100000000001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640.14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598052.57999999996</v>
      </c>
      <c r="G19" s="41">
        <f>SUM(G9:G18)</f>
        <v>5870.1</v>
      </c>
      <c r="H19" s="41">
        <f>SUM(H9:H18)</f>
        <v>34835.69</v>
      </c>
      <c r="I19" s="41">
        <f>SUM(I9:I18)</f>
        <v>0</v>
      </c>
      <c r="J19" s="41">
        <f>SUM(J9:J18)</f>
        <v>381921.04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13766.77</v>
      </c>
      <c r="G22" s="18">
        <v>3475.1</v>
      </c>
      <c r="H22" s="18">
        <v>21068.92</v>
      </c>
      <c r="I22" s="18"/>
      <c r="J22" s="67">
        <f>SUM(I447)</f>
        <v>99000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125270.1</v>
      </c>
      <c r="G23" s="18"/>
      <c r="H23" s="18">
        <v>80.58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83944.28</v>
      </c>
      <c r="G24" s="18">
        <v>1754.86</v>
      </c>
      <c r="H24" s="18">
        <v>5584.27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138663.22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361644.37</v>
      </c>
      <c r="G32" s="41">
        <f>SUM(G22:G31)</f>
        <v>5229.96</v>
      </c>
      <c r="H32" s="41">
        <f>SUM(H22:H31)</f>
        <v>26733.77</v>
      </c>
      <c r="I32" s="41">
        <f>SUM(I22:I31)</f>
        <v>0</v>
      </c>
      <c r="J32" s="41">
        <f>SUM(J22:J31)</f>
        <v>99000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640.14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8101.92</v>
      </c>
      <c r="I47" s="18"/>
      <c r="J47" s="13">
        <f>SUM(I458)</f>
        <v>282921.03999999998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236408.21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236408.21</v>
      </c>
      <c r="G50" s="41">
        <f>SUM(G35:G49)</f>
        <v>640.14</v>
      </c>
      <c r="H50" s="41">
        <f>SUM(H35:H49)</f>
        <v>8101.92</v>
      </c>
      <c r="I50" s="41">
        <f>SUM(I35:I49)</f>
        <v>0</v>
      </c>
      <c r="J50" s="41">
        <f>SUM(J35:J49)</f>
        <v>282921.03999999998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598052.57999999996</v>
      </c>
      <c r="G51" s="41">
        <f>G50+G32</f>
        <v>5870.1</v>
      </c>
      <c r="H51" s="41">
        <f>H50+H32</f>
        <v>34835.69</v>
      </c>
      <c r="I51" s="41">
        <f>I50+I32</f>
        <v>0</v>
      </c>
      <c r="J51" s="41">
        <f>J50+J32</f>
        <v>381921.04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7488848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7488848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338931.28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338931.28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310.02999999999997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142461.51999999999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62749.94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630</v>
      </c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2304.46</v>
      </c>
      <c r="G109" s="18">
        <v>80.58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2934.46</v>
      </c>
      <c r="G110" s="41">
        <f>SUM(G95:G109)</f>
        <v>142542.09999999998</v>
      </c>
      <c r="H110" s="41">
        <f>SUM(H95:H109)</f>
        <v>62749.94</v>
      </c>
      <c r="I110" s="41">
        <f>SUM(I95:I109)</f>
        <v>0</v>
      </c>
      <c r="J110" s="41">
        <f>SUM(J95:J109)</f>
        <v>310.02999999999997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7830713.7400000002</v>
      </c>
      <c r="G111" s="41">
        <f>G59+G110</f>
        <v>142542.09999999998</v>
      </c>
      <c r="H111" s="41">
        <f>H59+H78+H93+H110</f>
        <v>62749.94</v>
      </c>
      <c r="I111" s="41">
        <f>I59+I110</f>
        <v>0</v>
      </c>
      <c r="J111" s="41">
        <f>J59+J110</f>
        <v>310.02999999999997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4260851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4260851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116411.55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2587.65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116411.55</v>
      </c>
      <c r="G135" s="41">
        <f>SUM(G122:G134)</f>
        <v>2587.65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4377262.55</v>
      </c>
      <c r="G139" s="41">
        <f>G120+SUM(G135:G136)</f>
        <v>2587.65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20511.740000000002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70281.149999999994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24309.61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64919.13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64919.13</v>
      </c>
      <c r="G161" s="41">
        <f>SUM(G149:G160)</f>
        <v>24309.61</v>
      </c>
      <c r="H161" s="41">
        <f>SUM(H149:H160)</f>
        <v>90792.89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64919.13</v>
      </c>
      <c r="G168" s="41">
        <f>G146+G161+SUM(G162:G167)</f>
        <v>24309.61</v>
      </c>
      <c r="H168" s="41">
        <f>H146+H161+SUM(H162:H167)</f>
        <v>90792.89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28682.87</v>
      </c>
      <c r="H178" s="18">
        <v>167.35</v>
      </c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1755.4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1755.4</v>
      </c>
      <c r="G182" s="41">
        <f>SUM(G178:G181)</f>
        <v>28682.87</v>
      </c>
      <c r="H182" s="41">
        <f>SUM(H178:H181)</f>
        <v>167.35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99000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99000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100755.4</v>
      </c>
      <c r="G191" s="41">
        <f>G182+SUM(G187:G190)</f>
        <v>28682.87</v>
      </c>
      <c r="H191" s="41">
        <f>+H182+SUM(H187:H190)</f>
        <v>167.35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12373650.82</v>
      </c>
      <c r="G192" s="47">
        <f>G111+G139+G168+G191</f>
        <v>198122.22999999998</v>
      </c>
      <c r="H192" s="47">
        <f>H111+H139+H168+H191</f>
        <v>153710.18000000002</v>
      </c>
      <c r="I192" s="47">
        <f>I111+I139+I168+I191</f>
        <v>0</v>
      </c>
      <c r="J192" s="47">
        <f>J111+J139+J191</f>
        <v>310.02999999999997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3215052.09</v>
      </c>
      <c r="G196" s="18">
        <v>1338597.99</v>
      </c>
      <c r="H196" s="18">
        <v>7315.7</v>
      </c>
      <c r="I196" s="18">
        <v>88324.5</v>
      </c>
      <c r="J196" s="18">
        <v>6131.99</v>
      </c>
      <c r="K196" s="18"/>
      <c r="L196" s="19">
        <f>SUM(F196:K196)</f>
        <v>4655422.2700000005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601920.6</v>
      </c>
      <c r="G197" s="18">
        <v>250499.38</v>
      </c>
      <c r="H197" s="18">
        <v>114194.87</v>
      </c>
      <c r="I197" s="18">
        <v>1966.51</v>
      </c>
      <c r="J197" s="18">
        <v>5236.1899999999996</v>
      </c>
      <c r="K197" s="18"/>
      <c r="L197" s="19">
        <f>SUM(F197:K197)</f>
        <v>973817.54999999993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60057.5</v>
      </c>
      <c r="G199" s="18">
        <v>4675.43</v>
      </c>
      <c r="H199" s="18">
        <v>40437.360000000001</v>
      </c>
      <c r="I199" s="18">
        <v>1122.58</v>
      </c>
      <c r="J199" s="18">
        <v>425</v>
      </c>
      <c r="K199" s="18"/>
      <c r="L199" s="19">
        <f>SUM(F199:K199)</f>
        <v>106717.87000000001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391782.63</v>
      </c>
      <c r="G201" s="18">
        <v>163046.93</v>
      </c>
      <c r="H201" s="18">
        <v>16976.07</v>
      </c>
      <c r="I201" s="18">
        <v>2908.76</v>
      </c>
      <c r="J201" s="18">
        <v>638.16</v>
      </c>
      <c r="K201" s="18"/>
      <c r="L201" s="19">
        <f t="shared" ref="L201:L207" si="0">SUM(F201:K201)</f>
        <v>575352.55000000005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320988.44</v>
      </c>
      <c r="G202" s="18">
        <v>183423.32</v>
      </c>
      <c r="H202" s="18">
        <v>33889.42</v>
      </c>
      <c r="I202" s="18">
        <v>29032.14</v>
      </c>
      <c r="J202" s="18">
        <v>80888.41</v>
      </c>
      <c r="K202" s="18">
        <v>3818</v>
      </c>
      <c r="L202" s="19">
        <f t="shared" si="0"/>
        <v>652039.7300000001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7560.9</v>
      </c>
      <c r="G203" s="18">
        <v>620.1</v>
      </c>
      <c r="H203" s="18">
        <v>486017.11</v>
      </c>
      <c r="I203" s="18">
        <v>1127.53</v>
      </c>
      <c r="J203" s="18"/>
      <c r="K203" s="18">
        <v>5956.87</v>
      </c>
      <c r="L203" s="19">
        <f t="shared" si="0"/>
        <v>501282.51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317875.34000000003</v>
      </c>
      <c r="G204" s="18">
        <v>132813.17000000001</v>
      </c>
      <c r="H204" s="18">
        <v>16079.47</v>
      </c>
      <c r="I204" s="18">
        <v>2264.89</v>
      </c>
      <c r="J204" s="18">
        <v>738.66</v>
      </c>
      <c r="K204" s="18">
        <v>235</v>
      </c>
      <c r="L204" s="19">
        <f t="shared" si="0"/>
        <v>470006.52999999997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7802.39</v>
      </c>
      <c r="L205" s="19">
        <f t="shared" si="0"/>
        <v>7802.39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278415.40000000002</v>
      </c>
      <c r="G206" s="18">
        <v>115867.25</v>
      </c>
      <c r="H206" s="18">
        <v>113845.88</v>
      </c>
      <c r="I206" s="18">
        <v>223417.03</v>
      </c>
      <c r="J206" s="18">
        <v>7141.72</v>
      </c>
      <c r="K206" s="18"/>
      <c r="L206" s="19">
        <f t="shared" si="0"/>
        <v>738687.28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241546.52</v>
      </c>
      <c r="I207" s="18"/>
      <c r="J207" s="18"/>
      <c r="K207" s="18"/>
      <c r="L207" s="19">
        <f t="shared" si="0"/>
        <v>241546.52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7174</v>
      </c>
      <c r="H208" s="18">
        <v>12115.95</v>
      </c>
      <c r="I208" s="18"/>
      <c r="J208" s="18"/>
      <c r="K208" s="18"/>
      <c r="L208" s="19">
        <f>SUM(F208:K208)</f>
        <v>19289.95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5193652.9000000013</v>
      </c>
      <c r="G210" s="41">
        <f t="shared" si="1"/>
        <v>2196717.5700000003</v>
      </c>
      <c r="H210" s="41">
        <f t="shared" si="1"/>
        <v>1082418.3499999999</v>
      </c>
      <c r="I210" s="41">
        <f t="shared" si="1"/>
        <v>350163.94</v>
      </c>
      <c r="J210" s="41">
        <f t="shared" si="1"/>
        <v>101200.13</v>
      </c>
      <c r="K210" s="41">
        <f t="shared" si="1"/>
        <v>17812.259999999998</v>
      </c>
      <c r="L210" s="41">
        <f t="shared" si="1"/>
        <v>8941965.1499999985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2675402.42</v>
      </c>
      <c r="I232" s="18"/>
      <c r="J232" s="18"/>
      <c r="K232" s="18"/>
      <c r="L232" s="19">
        <f>SUM(F232:K232)</f>
        <v>2675402.42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70365.960000000006</v>
      </c>
      <c r="I233" s="18"/>
      <c r="J233" s="18"/>
      <c r="K233" s="18"/>
      <c r="L233" s="19">
        <f>SUM(F233:K233)</f>
        <v>70365.960000000006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840.1</v>
      </c>
      <c r="G239" s="18">
        <v>68.91</v>
      </c>
      <c r="H239" s="18">
        <v>54001.9</v>
      </c>
      <c r="I239" s="18">
        <v>125.28</v>
      </c>
      <c r="J239" s="18"/>
      <c r="K239" s="18">
        <v>661.87</v>
      </c>
      <c r="L239" s="19">
        <f t="shared" si="4"/>
        <v>55698.060000000005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58023.57</v>
      </c>
      <c r="I243" s="18"/>
      <c r="J243" s="18"/>
      <c r="K243" s="18"/>
      <c r="L243" s="19">
        <f t="shared" si="4"/>
        <v>58023.57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840.1</v>
      </c>
      <c r="G246" s="41">
        <f t="shared" si="5"/>
        <v>68.91</v>
      </c>
      <c r="H246" s="41">
        <f t="shared" si="5"/>
        <v>2857793.8499999996</v>
      </c>
      <c r="I246" s="41">
        <f t="shared" si="5"/>
        <v>125.28</v>
      </c>
      <c r="J246" s="41">
        <f t="shared" si="5"/>
        <v>0</v>
      </c>
      <c r="K246" s="41">
        <f t="shared" si="5"/>
        <v>661.87</v>
      </c>
      <c r="L246" s="41">
        <f t="shared" si="5"/>
        <v>2859490.01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74810.509999999995</v>
      </c>
      <c r="I254" s="18"/>
      <c r="J254" s="18"/>
      <c r="K254" s="18"/>
      <c r="L254" s="19">
        <f t="shared" si="6"/>
        <v>74810.509999999995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74810.509999999995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74810.509999999995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5194493.0000000009</v>
      </c>
      <c r="G256" s="41">
        <f t="shared" si="8"/>
        <v>2196786.4800000004</v>
      </c>
      <c r="H256" s="41">
        <f t="shared" si="8"/>
        <v>4015022.709999999</v>
      </c>
      <c r="I256" s="41">
        <f t="shared" si="8"/>
        <v>350289.22000000003</v>
      </c>
      <c r="J256" s="41">
        <f t="shared" si="8"/>
        <v>101200.13</v>
      </c>
      <c r="K256" s="41">
        <f t="shared" si="8"/>
        <v>18474.129999999997</v>
      </c>
      <c r="L256" s="41">
        <f t="shared" si="8"/>
        <v>11876265.669999998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280000</v>
      </c>
      <c r="L259" s="19">
        <f>SUM(F259:K259)</f>
        <v>280000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77000</v>
      </c>
      <c r="L260" s="19">
        <f>SUM(F260:K260)</f>
        <v>77000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28682.87</v>
      </c>
      <c r="L262" s="19">
        <f>SUM(F262:K262)</f>
        <v>28682.87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167.35</v>
      </c>
      <c r="L263" s="19">
        <f t="shared" ref="L263:L269" si="9">SUM(F263:K263)</f>
        <v>167.35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385850.22</v>
      </c>
      <c r="L269" s="41">
        <f t="shared" si="9"/>
        <v>385850.22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5194493.0000000009</v>
      </c>
      <c r="G270" s="42">
        <f t="shared" si="11"/>
        <v>2196786.4800000004</v>
      </c>
      <c r="H270" s="42">
        <f t="shared" si="11"/>
        <v>4015022.709999999</v>
      </c>
      <c r="I270" s="42">
        <f t="shared" si="11"/>
        <v>350289.22000000003</v>
      </c>
      <c r="J270" s="42">
        <f t="shared" si="11"/>
        <v>101200.13</v>
      </c>
      <c r="K270" s="42">
        <f t="shared" si="11"/>
        <v>404324.35</v>
      </c>
      <c r="L270" s="42">
        <f t="shared" si="11"/>
        <v>12262115.889999999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23856.61</v>
      </c>
      <c r="G275" s="18">
        <v>2291.14</v>
      </c>
      <c r="H275" s="18">
        <v>6925</v>
      </c>
      <c r="I275" s="18">
        <v>1594.53</v>
      </c>
      <c r="J275" s="18">
        <v>3595.96</v>
      </c>
      <c r="K275" s="18">
        <v>50</v>
      </c>
      <c r="L275" s="19">
        <f>SUM(F275:K275)</f>
        <v>38313.24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9790.64</v>
      </c>
      <c r="G276" s="18">
        <v>856.77</v>
      </c>
      <c r="H276" s="18"/>
      <c r="I276" s="18"/>
      <c r="J276" s="18"/>
      <c r="K276" s="18"/>
      <c r="L276" s="19">
        <f>SUM(F276:K276)</f>
        <v>10647.41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20183.14</v>
      </c>
      <c r="G278" s="18">
        <v>359.56</v>
      </c>
      <c r="H278" s="18">
        <v>17068.599999999999</v>
      </c>
      <c r="I278" s="18">
        <v>6055.2</v>
      </c>
      <c r="J278" s="18">
        <v>5444.12</v>
      </c>
      <c r="K278" s="18"/>
      <c r="L278" s="19">
        <f>SUM(F278:K278)</f>
        <v>49110.62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1330</v>
      </c>
      <c r="H281" s="18">
        <v>5216.76</v>
      </c>
      <c r="I281" s="18">
        <v>2991</v>
      </c>
      <c r="J281" s="18">
        <v>47193.19</v>
      </c>
      <c r="K281" s="18"/>
      <c r="L281" s="19">
        <f t="shared" si="12"/>
        <v>56730.950000000004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8792.2800000000007</v>
      </c>
      <c r="L282" s="19">
        <f t="shared" si="12"/>
        <v>8792.2800000000007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210.15</v>
      </c>
      <c r="L284" s="19">
        <f t="shared" si="12"/>
        <v>210.15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>
        <v>945</v>
      </c>
      <c r="K285" s="18"/>
      <c r="L285" s="19">
        <f t="shared" si="12"/>
        <v>945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454.72</v>
      </c>
      <c r="I286" s="18"/>
      <c r="J286" s="18"/>
      <c r="K286" s="18"/>
      <c r="L286" s="19">
        <f t="shared" si="12"/>
        <v>454.72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53830.39</v>
      </c>
      <c r="G289" s="42">
        <f t="shared" si="13"/>
        <v>4837.4699999999993</v>
      </c>
      <c r="H289" s="42">
        <f t="shared" si="13"/>
        <v>29665.08</v>
      </c>
      <c r="I289" s="42">
        <f t="shared" si="13"/>
        <v>10640.73</v>
      </c>
      <c r="J289" s="42">
        <f t="shared" si="13"/>
        <v>57178.270000000004</v>
      </c>
      <c r="K289" s="42">
        <f t="shared" si="13"/>
        <v>9052.43</v>
      </c>
      <c r="L289" s="41">
        <f t="shared" si="13"/>
        <v>165204.37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53830.39</v>
      </c>
      <c r="G337" s="41">
        <f t="shared" si="20"/>
        <v>4837.4699999999993</v>
      </c>
      <c r="H337" s="41">
        <f t="shared" si="20"/>
        <v>29665.08</v>
      </c>
      <c r="I337" s="41">
        <f t="shared" si="20"/>
        <v>10640.73</v>
      </c>
      <c r="J337" s="41">
        <f t="shared" si="20"/>
        <v>57178.270000000004</v>
      </c>
      <c r="K337" s="41">
        <f t="shared" si="20"/>
        <v>9052.43</v>
      </c>
      <c r="L337" s="41">
        <f t="shared" si="20"/>
        <v>165204.37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1755.4</v>
      </c>
      <c r="L343" s="19">
        <f t="shared" ref="L343:L349" si="21">SUM(F343:K343)</f>
        <v>1755.4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1755.4</v>
      </c>
      <c r="L350" s="41">
        <f>SUM(L340:L349)</f>
        <v>1755.4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53830.39</v>
      </c>
      <c r="G351" s="41">
        <f>G337</f>
        <v>4837.4699999999993</v>
      </c>
      <c r="H351" s="41">
        <f>H337</f>
        <v>29665.08</v>
      </c>
      <c r="I351" s="41">
        <f>I337</f>
        <v>10640.73</v>
      </c>
      <c r="J351" s="41">
        <f>J337</f>
        <v>57178.270000000004</v>
      </c>
      <c r="K351" s="47">
        <f>K337+K350</f>
        <v>10807.83</v>
      </c>
      <c r="L351" s="41">
        <f>L337+L350</f>
        <v>166959.76999999999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77560.929999999993</v>
      </c>
      <c r="G357" s="18">
        <v>32278.28</v>
      </c>
      <c r="H357" s="18">
        <v>7353.21</v>
      </c>
      <c r="I357" s="18">
        <v>75600.31</v>
      </c>
      <c r="J357" s="18">
        <v>12814</v>
      </c>
      <c r="K357" s="18"/>
      <c r="L357" s="13">
        <f>SUM(F357:K357)</f>
        <v>205606.72999999998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77560.929999999993</v>
      </c>
      <c r="G361" s="47">
        <f t="shared" si="22"/>
        <v>32278.28</v>
      </c>
      <c r="H361" s="47">
        <f t="shared" si="22"/>
        <v>7353.21</v>
      </c>
      <c r="I361" s="47">
        <f t="shared" si="22"/>
        <v>75600.31</v>
      </c>
      <c r="J361" s="47">
        <f t="shared" si="22"/>
        <v>12814</v>
      </c>
      <c r="K361" s="47">
        <f t="shared" si="22"/>
        <v>0</v>
      </c>
      <c r="L361" s="47">
        <f t="shared" si="22"/>
        <v>205606.72999999998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63199.77</v>
      </c>
      <c r="G366" s="18"/>
      <c r="H366" s="18"/>
      <c r="I366" s="56">
        <f>SUM(F366:H366)</f>
        <v>63199.77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12400.54</v>
      </c>
      <c r="G367" s="63"/>
      <c r="H367" s="63"/>
      <c r="I367" s="56">
        <f>SUM(F367:H367)</f>
        <v>12400.54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75600.31</v>
      </c>
      <c r="G368" s="47">
        <f>SUM(G366:G367)</f>
        <v>0</v>
      </c>
      <c r="H368" s="47">
        <f>SUM(H366:H367)</f>
        <v>0</v>
      </c>
      <c r="I368" s="47">
        <f>SUM(I366:I367)</f>
        <v>75600.31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146.46</v>
      </c>
      <c r="I395" s="18"/>
      <c r="J395" s="24" t="s">
        <v>289</v>
      </c>
      <c r="K395" s="24" t="s">
        <v>289</v>
      </c>
      <c r="L395" s="56">
        <f t="shared" si="26"/>
        <v>146.46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89.24</v>
      </c>
      <c r="I396" s="18"/>
      <c r="J396" s="24" t="s">
        <v>289</v>
      </c>
      <c r="K396" s="24" t="s">
        <v>289</v>
      </c>
      <c r="L396" s="56">
        <f t="shared" si="26"/>
        <v>89.24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74.33</v>
      </c>
      <c r="I397" s="18"/>
      <c r="J397" s="24" t="s">
        <v>289</v>
      </c>
      <c r="K397" s="24" t="s">
        <v>289</v>
      </c>
      <c r="L397" s="56">
        <f t="shared" si="26"/>
        <v>74.33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310.02999999999997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310.02999999999997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310.02999999999997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310.02999999999997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>
        <v>40000</v>
      </c>
      <c r="I420" s="18"/>
      <c r="J420" s="18"/>
      <c r="K420" s="18"/>
      <c r="L420" s="56">
        <f t="shared" ref="L420:L425" si="29">SUM(F420:K420)</f>
        <v>40000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99000</v>
      </c>
      <c r="L423" s="56">
        <f t="shared" si="29"/>
        <v>99000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40000</v>
      </c>
      <c r="I426" s="47">
        <f t="shared" si="30"/>
        <v>0</v>
      </c>
      <c r="J426" s="47">
        <f t="shared" si="30"/>
        <v>0</v>
      </c>
      <c r="K426" s="47">
        <f t="shared" si="30"/>
        <v>99000</v>
      </c>
      <c r="L426" s="47">
        <f t="shared" si="30"/>
        <v>139000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40000</v>
      </c>
      <c r="I433" s="47">
        <f t="shared" si="32"/>
        <v>0</v>
      </c>
      <c r="J433" s="47">
        <f t="shared" si="32"/>
        <v>0</v>
      </c>
      <c r="K433" s="47">
        <f t="shared" si="32"/>
        <v>99000</v>
      </c>
      <c r="L433" s="47">
        <f t="shared" si="32"/>
        <v>139000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381921.04</v>
      </c>
      <c r="H438" s="18"/>
      <c r="I438" s="56">
        <f t="shared" ref="I438:I444" si="33">SUM(F438:H438)</f>
        <v>381921.04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381921.04</v>
      </c>
      <c r="H445" s="13">
        <f>SUM(H438:H444)</f>
        <v>0</v>
      </c>
      <c r="I445" s="13">
        <f>SUM(I438:I444)</f>
        <v>381921.04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99000</v>
      </c>
      <c r="H447" s="18"/>
      <c r="I447" s="56">
        <f>SUM(F447:H447)</f>
        <v>99000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99000</v>
      </c>
      <c r="H451" s="72">
        <f>SUM(H447:H450)</f>
        <v>0</v>
      </c>
      <c r="I451" s="72">
        <f>SUM(I447:I450)</f>
        <v>99000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282921.03999999998</v>
      </c>
      <c r="H458" s="18"/>
      <c r="I458" s="56">
        <f t="shared" si="34"/>
        <v>282921.03999999998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282921.03999999998</v>
      </c>
      <c r="H459" s="83">
        <f>SUM(H453:H458)</f>
        <v>0</v>
      </c>
      <c r="I459" s="83">
        <f>SUM(I453:I458)</f>
        <v>282921.03999999998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381921.04</v>
      </c>
      <c r="H460" s="42">
        <f>H451+H459</f>
        <v>0</v>
      </c>
      <c r="I460" s="42">
        <f>I451+I459</f>
        <v>381921.04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124873.28</v>
      </c>
      <c r="G464" s="18">
        <v>9532.35</v>
      </c>
      <c r="H464" s="18">
        <v>21351.51</v>
      </c>
      <c r="I464" s="18"/>
      <c r="J464" s="18">
        <v>421611.01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12373650.82</v>
      </c>
      <c r="G467" s="18">
        <v>198122.23</v>
      </c>
      <c r="H467" s="18">
        <v>153710.18</v>
      </c>
      <c r="I467" s="18"/>
      <c r="J467" s="18">
        <v>310.02999999999997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12373650.82</v>
      </c>
      <c r="G469" s="53">
        <f>SUM(G467:G468)</f>
        <v>198122.23</v>
      </c>
      <c r="H469" s="53">
        <f>SUM(H467:H468)</f>
        <v>153710.18</v>
      </c>
      <c r="I469" s="53">
        <f>SUM(I467:I468)</f>
        <v>0</v>
      </c>
      <c r="J469" s="53">
        <f>SUM(J467:J468)</f>
        <v>310.02999999999997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12262115.890000001</v>
      </c>
      <c r="G471" s="18">
        <v>205606.73</v>
      </c>
      <c r="H471" s="18">
        <v>166959.76999999999</v>
      </c>
      <c r="I471" s="18"/>
      <c r="J471" s="18">
        <v>139000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1407.71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12262115.890000001</v>
      </c>
      <c r="G473" s="53">
        <f>SUM(G471:G472)</f>
        <v>207014.44</v>
      </c>
      <c r="H473" s="53">
        <f>SUM(H471:H472)</f>
        <v>166959.76999999999</v>
      </c>
      <c r="I473" s="53">
        <f>SUM(I471:I472)</f>
        <v>0</v>
      </c>
      <c r="J473" s="53">
        <f>SUM(J471:J472)</f>
        <v>139000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236408.20999999903</v>
      </c>
      <c r="G475" s="53">
        <f>(G464+G469)- G473</f>
        <v>640.14000000001397</v>
      </c>
      <c r="H475" s="53">
        <f>(H464+H469)- H473</f>
        <v>8101.9200000000128</v>
      </c>
      <c r="I475" s="53">
        <f>(I464+I469)- I473</f>
        <v>0</v>
      </c>
      <c r="J475" s="53">
        <f>(J464+J469)- J473</f>
        <v>282921.04000000004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8844720.8000000007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1400000</v>
      </c>
      <c r="G494" s="18"/>
      <c r="H494" s="18"/>
      <c r="I494" s="18"/>
      <c r="J494" s="18"/>
      <c r="K494" s="53">
        <f>SUM(F494:J494)</f>
        <v>1400000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280000</v>
      </c>
      <c r="G496" s="18"/>
      <c r="H496" s="18"/>
      <c r="I496" s="18"/>
      <c r="J496" s="18"/>
      <c r="K496" s="53">
        <f t="shared" si="35"/>
        <v>280000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1120000</v>
      </c>
      <c r="G497" s="204"/>
      <c r="H497" s="204"/>
      <c r="I497" s="204"/>
      <c r="J497" s="204"/>
      <c r="K497" s="205">
        <f t="shared" si="35"/>
        <v>1120000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154000</v>
      </c>
      <c r="G498" s="18"/>
      <c r="H498" s="18"/>
      <c r="I498" s="18"/>
      <c r="J498" s="18"/>
      <c r="K498" s="53">
        <f t="shared" si="35"/>
        <v>154000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1274000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1274000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280000</v>
      </c>
      <c r="G500" s="204"/>
      <c r="H500" s="204"/>
      <c r="I500" s="204"/>
      <c r="J500" s="204"/>
      <c r="K500" s="205">
        <f t="shared" si="35"/>
        <v>280000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61600</v>
      </c>
      <c r="G501" s="18"/>
      <c r="H501" s="18"/>
      <c r="I501" s="18"/>
      <c r="J501" s="18"/>
      <c r="K501" s="53">
        <f t="shared" si="35"/>
        <v>61600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341600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341600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579294.43000000005</v>
      </c>
      <c r="G520" s="18">
        <v>239758.8</v>
      </c>
      <c r="H520" s="18">
        <v>111682.29</v>
      </c>
      <c r="I520" s="18">
        <v>1966.51</v>
      </c>
      <c r="J520" s="18">
        <v>5236.1899999999996</v>
      </c>
      <c r="K520" s="18"/>
      <c r="L520" s="88">
        <f>SUM(F520:K520)</f>
        <v>937938.22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26931.38</v>
      </c>
      <c r="G522" s="18">
        <v>11249.71</v>
      </c>
      <c r="H522" s="18">
        <v>65133.38</v>
      </c>
      <c r="I522" s="18"/>
      <c r="J522" s="18"/>
      <c r="K522" s="18"/>
      <c r="L522" s="88">
        <f>SUM(F522:K522)</f>
        <v>103314.47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606225.81000000006</v>
      </c>
      <c r="G523" s="108">
        <f t="shared" ref="G523:L523" si="36">SUM(G520:G522)</f>
        <v>251008.50999999998</v>
      </c>
      <c r="H523" s="108">
        <f t="shared" si="36"/>
        <v>176815.66999999998</v>
      </c>
      <c r="I523" s="108">
        <f t="shared" si="36"/>
        <v>1966.51</v>
      </c>
      <c r="J523" s="108">
        <f t="shared" si="36"/>
        <v>5236.1899999999996</v>
      </c>
      <c r="K523" s="108">
        <f t="shared" si="36"/>
        <v>0</v>
      </c>
      <c r="L523" s="89">
        <f t="shared" si="36"/>
        <v>1041252.69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175883.5</v>
      </c>
      <c r="G525" s="18">
        <v>73196.88</v>
      </c>
      <c r="H525" s="18">
        <v>11867.82</v>
      </c>
      <c r="I525" s="18">
        <v>1015.66</v>
      </c>
      <c r="J525" s="18">
        <v>638.16</v>
      </c>
      <c r="K525" s="18"/>
      <c r="L525" s="88">
        <f>SUM(F525:K525)</f>
        <v>262602.02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175883.5</v>
      </c>
      <c r="G528" s="89">
        <f t="shared" ref="G528:L528" si="37">SUM(G525:G527)</f>
        <v>73196.88</v>
      </c>
      <c r="H528" s="89">
        <f t="shared" si="37"/>
        <v>11867.82</v>
      </c>
      <c r="I528" s="89">
        <f t="shared" si="37"/>
        <v>1015.66</v>
      </c>
      <c r="J528" s="89">
        <f t="shared" si="37"/>
        <v>638.16</v>
      </c>
      <c r="K528" s="89">
        <f t="shared" si="37"/>
        <v>0</v>
      </c>
      <c r="L528" s="89">
        <f t="shared" si="37"/>
        <v>262602.02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29775.98</v>
      </c>
      <c r="G530" s="18">
        <v>10932.86</v>
      </c>
      <c r="H530" s="18">
        <v>3147.31</v>
      </c>
      <c r="I530" s="18">
        <v>1139.45</v>
      </c>
      <c r="J530" s="18">
        <v>211.03</v>
      </c>
      <c r="K530" s="18">
        <v>250.27</v>
      </c>
      <c r="L530" s="88">
        <f>SUM(F530:K530)</f>
        <v>45456.899999999987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12761.14</v>
      </c>
      <c r="G532" s="18">
        <v>4685.51</v>
      </c>
      <c r="H532" s="18">
        <v>1348.85</v>
      </c>
      <c r="I532" s="18">
        <v>488.34</v>
      </c>
      <c r="J532" s="18">
        <v>90.44</v>
      </c>
      <c r="K532" s="18">
        <v>107.26</v>
      </c>
      <c r="L532" s="88">
        <f>SUM(F532:K532)</f>
        <v>19481.539999999997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42537.119999999995</v>
      </c>
      <c r="G533" s="89">
        <f t="shared" ref="G533:L533" si="38">SUM(G530:G532)</f>
        <v>15618.37</v>
      </c>
      <c r="H533" s="89">
        <f t="shared" si="38"/>
        <v>4496.16</v>
      </c>
      <c r="I533" s="89">
        <f t="shared" si="38"/>
        <v>1627.79</v>
      </c>
      <c r="J533" s="89">
        <f t="shared" si="38"/>
        <v>301.47000000000003</v>
      </c>
      <c r="K533" s="89">
        <f t="shared" si="38"/>
        <v>357.53000000000003</v>
      </c>
      <c r="L533" s="89">
        <f t="shared" si="38"/>
        <v>64938.439999999988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10944.82</v>
      </c>
      <c r="I535" s="18"/>
      <c r="J535" s="18"/>
      <c r="K535" s="18"/>
      <c r="L535" s="88">
        <f>SUM(F535:K535)</f>
        <v>10944.82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5232.58</v>
      </c>
      <c r="I537" s="18"/>
      <c r="J537" s="18"/>
      <c r="K537" s="18"/>
      <c r="L537" s="88">
        <f>SUM(F537:K537)</f>
        <v>5232.58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16177.4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16177.4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15197.94</v>
      </c>
      <c r="I540" s="18"/>
      <c r="J540" s="18"/>
      <c r="K540" s="18"/>
      <c r="L540" s="88">
        <f>SUM(F540:K540)</f>
        <v>15197.94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20933.55</v>
      </c>
      <c r="I542" s="18"/>
      <c r="J542" s="18"/>
      <c r="K542" s="18"/>
      <c r="L542" s="88">
        <f>SUM(F542:K542)</f>
        <v>20933.55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36131.49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36131.49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824646.43</v>
      </c>
      <c r="G544" s="89">
        <f t="shared" ref="G544:L544" si="41">G523+G528+G533+G538+G543</f>
        <v>339823.76</v>
      </c>
      <c r="H544" s="89">
        <f t="shared" si="41"/>
        <v>245488.53999999998</v>
      </c>
      <c r="I544" s="89">
        <f t="shared" si="41"/>
        <v>4609.96</v>
      </c>
      <c r="J544" s="89">
        <f t="shared" si="41"/>
        <v>6175.82</v>
      </c>
      <c r="K544" s="89">
        <f t="shared" si="41"/>
        <v>357.53000000000003</v>
      </c>
      <c r="L544" s="89">
        <f t="shared" si="41"/>
        <v>1421102.0399999998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937938.22</v>
      </c>
      <c r="G548" s="87">
        <f>L525</f>
        <v>262602.02</v>
      </c>
      <c r="H548" s="87">
        <f>L530</f>
        <v>45456.899999999987</v>
      </c>
      <c r="I548" s="87">
        <f>L535</f>
        <v>10944.82</v>
      </c>
      <c r="J548" s="87">
        <f>L540</f>
        <v>15197.94</v>
      </c>
      <c r="K548" s="87">
        <f>SUM(F548:J548)</f>
        <v>1272139.8999999999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103314.47</v>
      </c>
      <c r="G550" s="87">
        <f>L527</f>
        <v>0</v>
      </c>
      <c r="H550" s="87">
        <f>L532</f>
        <v>19481.539999999997</v>
      </c>
      <c r="I550" s="87">
        <f>L537</f>
        <v>5232.58</v>
      </c>
      <c r="J550" s="87">
        <f>L542</f>
        <v>20933.55</v>
      </c>
      <c r="K550" s="87">
        <f>SUM(F550:J550)</f>
        <v>148962.13999999998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1041252.69</v>
      </c>
      <c r="G551" s="89">
        <f t="shared" si="42"/>
        <v>262602.02</v>
      </c>
      <c r="H551" s="89">
        <f t="shared" si="42"/>
        <v>64938.439999999988</v>
      </c>
      <c r="I551" s="89">
        <f t="shared" si="42"/>
        <v>16177.4</v>
      </c>
      <c r="J551" s="89">
        <f t="shared" si="42"/>
        <v>36131.49</v>
      </c>
      <c r="K551" s="89">
        <f t="shared" si="42"/>
        <v>1421102.0399999998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2234.8000000000002</v>
      </c>
      <c r="G561" s="18">
        <v>930.29</v>
      </c>
      <c r="H561" s="18"/>
      <c r="I561" s="18"/>
      <c r="J561" s="18"/>
      <c r="K561" s="18"/>
      <c r="L561" s="88">
        <f>SUM(F561:K561)</f>
        <v>3165.09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2234.8000000000002</v>
      </c>
      <c r="G564" s="89">
        <f t="shared" si="44"/>
        <v>930.29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3165.09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2234.8000000000002</v>
      </c>
      <c r="G570" s="89">
        <f t="shared" ref="G570:L570" si="46">G559+G564+G569</f>
        <v>930.29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3165.09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2675402.42</v>
      </c>
      <c r="I574" s="87">
        <f>SUM(F574:H574)</f>
        <v>2675402.42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507.27</v>
      </c>
      <c r="G578" s="18"/>
      <c r="H578" s="18">
        <v>27679.87</v>
      </c>
      <c r="I578" s="87">
        <f t="shared" si="47"/>
        <v>28187.14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94736.62</v>
      </c>
      <c r="G581" s="18"/>
      <c r="H581" s="18">
        <v>34517.01</v>
      </c>
      <c r="I581" s="87">
        <f t="shared" si="47"/>
        <v>129253.63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210176.78</v>
      </c>
      <c r="I590" s="18"/>
      <c r="J590" s="18">
        <v>37090.019999999997</v>
      </c>
      <c r="K590" s="104">
        <f t="shared" ref="K590:K596" si="48">SUM(H590:J590)</f>
        <v>247266.8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15197.94</v>
      </c>
      <c r="I591" s="18"/>
      <c r="J591" s="18">
        <v>20933.55</v>
      </c>
      <c r="K591" s="104">
        <f t="shared" si="48"/>
        <v>36131.49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6303.71</v>
      </c>
      <c r="I593" s="18"/>
      <c r="J593" s="18"/>
      <c r="K593" s="104">
        <f t="shared" si="48"/>
        <v>6303.71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9868.09</v>
      </c>
      <c r="I594" s="18"/>
      <c r="J594" s="18"/>
      <c r="K594" s="104">
        <f t="shared" si="48"/>
        <v>9868.09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241546.52</v>
      </c>
      <c r="I597" s="108">
        <f>SUM(I590:I596)</f>
        <v>0</v>
      </c>
      <c r="J597" s="108">
        <f>SUM(J590:J596)</f>
        <v>58023.569999999992</v>
      </c>
      <c r="K597" s="108">
        <f>SUM(K590:K596)</f>
        <v>299570.09000000003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158378.4</v>
      </c>
      <c r="I603" s="18"/>
      <c r="J603" s="18"/>
      <c r="K603" s="104">
        <f>SUM(H603:J603)</f>
        <v>158378.4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158378.4</v>
      </c>
      <c r="I604" s="108">
        <f>SUM(I601:I603)</f>
        <v>0</v>
      </c>
      <c r="J604" s="108">
        <f>SUM(J601:J603)</f>
        <v>0</v>
      </c>
      <c r="K604" s="108">
        <f>SUM(K601:K603)</f>
        <v>158378.4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5745</v>
      </c>
      <c r="G610" s="18">
        <v>446.97</v>
      </c>
      <c r="H610" s="18">
        <v>6060</v>
      </c>
      <c r="I610" s="18"/>
      <c r="J610" s="18"/>
      <c r="K610" s="18"/>
      <c r="L610" s="88">
        <f>SUM(F610:K610)</f>
        <v>12251.970000000001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5745</v>
      </c>
      <c r="G613" s="108">
        <f t="shared" si="49"/>
        <v>446.97</v>
      </c>
      <c r="H613" s="108">
        <f t="shared" si="49"/>
        <v>6060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12251.970000000001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598052.57999999996</v>
      </c>
      <c r="H616" s="109">
        <f>SUM(F51)</f>
        <v>598052.57999999996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5870.1</v>
      </c>
      <c r="H617" s="109">
        <f>SUM(G51)</f>
        <v>5870.1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34835.69</v>
      </c>
      <c r="H618" s="109">
        <f>SUM(H51)</f>
        <v>34835.69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381921.04</v>
      </c>
      <c r="H620" s="109">
        <f>SUM(J51)</f>
        <v>381921.04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236408.21</v>
      </c>
      <c r="H621" s="109">
        <f>F475</f>
        <v>236408.20999999903</v>
      </c>
      <c r="I621" s="121" t="s">
        <v>101</v>
      </c>
      <c r="J621" s="109">
        <f t="shared" ref="J621:J654" si="50">G621-H621</f>
        <v>9.6042640507221222E-10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640.14</v>
      </c>
      <c r="H622" s="109">
        <f>G475</f>
        <v>640.14000000001397</v>
      </c>
      <c r="I622" s="121" t="s">
        <v>102</v>
      </c>
      <c r="J622" s="109">
        <f t="shared" si="50"/>
        <v>-1.3983481039758772E-11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8101.92</v>
      </c>
      <c r="H623" s="109">
        <f>H475</f>
        <v>8101.9200000000128</v>
      </c>
      <c r="I623" s="121" t="s">
        <v>103</v>
      </c>
      <c r="J623" s="109">
        <f t="shared" si="50"/>
        <v>-1.2732925824820995E-11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282921.03999999998</v>
      </c>
      <c r="H625" s="109">
        <f>J475</f>
        <v>282921.04000000004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12373650.82</v>
      </c>
      <c r="H626" s="104">
        <f>SUM(F467)</f>
        <v>12373650.82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198122.22999999998</v>
      </c>
      <c r="H627" s="104">
        <f>SUM(G467)</f>
        <v>198122.23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153710.18000000002</v>
      </c>
      <c r="H628" s="104">
        <f>SUM(H467)</f>
        <v>153710.18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310.02999999999997</v>
      </c>
      <c r="H630" s="104">
        <f>SUM(J467)</f>
        <v>310.02999999999997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12262115.889999999</v>
      </c>
      <c r="H631" s="104">
        <f>SUM(F471)</f>
        <v>12262115.890000001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166959.76999999999</v>
      </c>
      <c r="H632" s="104">
        <f>SUM(H471)</f>
        <v>166959.76999999999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75600.31</v>
      </c>
      <c r="H633" s="104">
        <f>I368</f>
        <v>75600.31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205606.72999999998</v>
      </c>
      <c r="H634" s="104">
        <f>SUM(G471)</f>
        <v>205606.73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310.02999999999997</v>
      </c>
      <c r="H636" s="164">
        <f>SUM(J467)</f>
        <v>310.02999999999997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139000</v>
      </c>
      <c r="H637" s="164">
        <f>SUM(J471)</f>
        <v>139000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381921.04</v>
      </c>
      <c r="H639" s="104">
        <f>SUM(G460)</f>
        <v>381921.04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381921.04</v>
      </c>
      <c r="H641" s="104">
        <f>SUM(I460)</f>
        <v>381921.04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310.02999999999997</v>
      </c>
      <c r="H643" s="104">
        <f>H407</f>
        <v>310.02999999999997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310.02999999999997</v>
      </c>
      <c r="H645" s="104">
        <f>L407</f>
        <v>310.02999999999997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299570.09000000003</v>
      </c>
      <c r="H646" s="104">
        <f>L207+L225+L243</f>
        <v>299570.08999999997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158378.4</v>
      </c>
      <c r="H647" s="104">
        <f>(J256+J337)-(J254+J335)</f>
        <v>158378.40000000002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241546.52</v>
      </c>
      <c r="H648" s="104">
        <f>H597</f>
        <v>241546.52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58023.57</v>
      </c>
      <c r="H650" s="104">
        <f>J597</f>
        <v>58023.569999999992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28682.87</v>
      </c>
      <c r="H651" s="104">
        <f>K262+K344</f>
        <v>28682.87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167.35</v>
      </c>
      <c r="H652" s="104">
        <f>K263</f>
        <v>167.35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9312776.2499999981</v>
      </c>
      <c r="G659" s="19">
        <f>(L228+L308+L358)</f>
        <v>0</v>
      </c>
      <c r="H659" s="19">
        <f>(L246+L327+L359)</f>
        <v>2859490.01</v>
      </c>
      <c r="I659" s="19">
        <f>SUM(F659:H659)</f>
        <v>12172266.259999998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142542.09999999998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142542.09999999998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242001.24</v>
      </c>
      <c r="G661" s="19">
        <f>(L225+L305)-(J225+J305)</f>
        <v>0</v>
      </c>
      <c r="H661" s="19">
        <f>(L243+L324)-(J243+J324)</f>
        <v>58023.57</v>
      </c>
      <c r="I661" s="19">
        <f>SUM(F661:H661)</f>
        <v>300024.81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265874.26</v>
      </c>
      <c r="G662" s="199">
        <f>SUM(G574:G586)+SUM(I601:I603)+L611</f>
        <v>0</v>
      </c>
      <c r="H662" s="199">
        <f>SUM(H574:H586)+SUM(J601:J603)+L612</f>
        <v>2737599.3</v>
      </c>
      <c r="I662" s="19">
        <f>SUM(F662:H662)</f>
        <v>3003473.5599999996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8662358.6499999985</v>
      </c>
      <c r="G663" s="19">
        <f>G659-SUM(G660:G662)</f>
        <v>0</v>
      </c>
      <c r="H663" s="19">
        <f>H659-SUM(H660:H662)</f>
        <v>63867.14000000013</v>
      </c>
      <c r="I663" s="19">
        <f>I659-SUM(I660:I662)</f>
        <v>8726225.7899999991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508.83</v>
      </c>
      <c r="G664" s="248"/>
      <c r="H664" s="248"/>
      <c r="I664" s="19">
        <f>SUM(F664:H664)</f>
        <v>508.83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17024.07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17149.59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-63867.14</v>
      </c>
      <c r="I668" s="19">
        <f>SUM(F668:H668)</f>
        <v>-63867.14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17024.07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17024.07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RYE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3238908.6999999997</v>
      </c>
      <c r="C9" s="229">
        <f>'DOE25'!G196+'DOE25'!G214+'DOE25'!G232+'DOE25'!G275+'DOE25'!G294+'DOE25'!G313</f>
        <v>1340889.1299999999</v>
      </c>
    </row>
    <row r="10" spans="1:3" x14ac:dyDescent="0.2">
      <c r="A10" t="s">
        <v>779</v>
      </c>
      <c r="B10" s="240">
        <v>3039246.79</v>
      </c>
      <c r="C10" s="240">
        <v>1258290.3600000001</v>
      </c>
    </row>
    <row r="11" spans="1:3" x14ac:dyDescent="0.2">
      <c r="A11" t="s">
        <v>780</v>
      </c>
      <c r="B11" s="240">
        <v>129283.03</v>
      </c>
      <c r="C11" s="240">
        <v>53501.48</v>
      </c>
    </row>
    <row r="12" spans="1:3" x14ac:dyDescent="0.2">
      <c r="A12" t="s">
        <v>781</v>
      </c>
      <c r="B12" s="240">
        <v>70378.880000000005</v>
      </c>
      <c r="C12" s="240">
        <v>29097.29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3238908.6999999997</v>
      </c>
      <c r="C13" s="231">
        <f>SUM(C10:C12)</f>
        <v>1340889.1300000001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611711.24</v>
      </c>
      <c r="C18" s="229">
        <f>'DOE25'!G197+'DOE25'!G215+'DOE25'!G233+'DOE25'!G276+'DOE25'!G295+'DOE25'!G314</f>
        <v>251356.15</v>
      </c>
    </row>
    <row r="19" spans="1:3" x14ac:dyDescent="0.2">
      <c r="A19" t="s">
        <v>779</v>
      </c>
      <c r="B19" s="240">
        <v>373836.45</v>
      </c>
      <c r="C19" s="240">
        <v>153729.42000000001</v>
      </c>
    </row>
    <row r="20" spans="1:3" x14ac:dyDescent="0.2">
      <c r="A20" t="s">
        <v>780</v>
      </c>
      <c r="B20" s="240">
        <v>154764.99</v>
      </c>
      <c r="C20" s="240">
        <v>63593.11</v>
      </c>
    </row>
    <row r="21" spans="1:3" x14ac:dyDescent="0.2">
      <c r="A21" t="s">
        <v>781</v>
      </c>
      <c r="B21" s="240">
        <v>83109.8</v>
      </c>
      <c r="C21" s="240">
        <v>34033.620000000003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611711.24</v>
      </c>
      <c r="C22" s="231">
        <f>SUM(C19:C21)</f>
        <v>251356.15000000002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80240.639999999999</v>
      </c>
      <c r="C36" s="235">
        <f>'DOE25'!G199+'DOE25'!G217+'DOE25'!G235+'DOE25'!G278+'DOE25'!G297+'DOE25'!G316</f>
        <v>5034.9900000000007</v>
      </c>
    </row>
    <row r="37" spans="1:3" x14ac:dyDescent="0.2">
      <c r="A37" t="s">
        <v>779</v>
      </c>
      <c r="B37" s="240">
        <v>5670</v>
      </c>
      <c r="C37" s="240">
        <v>355.97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74570.64</v>
      </c>
      <c r="C39" s="240">
        <v>4679.0200000000004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80240.639999999999</v>
      </c>
      <c r="C40" s="231">
        <f>SUM(C37:C39)</f>
        <v>5034.9900000000007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RYE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8481726.0700000003</v>
      </c>
      <c r="D5" s="20">
        <f>SUM('DOE25'!L196:L199)+SUM('DOE25'!L214:L217)+SUM('DOE25'!L232:L235)-F5-G5</f>
        <v>8469932.8900000006</v>
      </c>
      <c r="E5" s="243"/>
      <c r="F5" s="255">
        <f>SUM('DOE25'!J196:J199)+SUM('DOE25'!J214:J217)+SUM('DOE25'!J232:J235)</f>
        <v>11793.18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575352.55000000005</v>
      </c>
      <c r="D6" s="20">
        <f>'DOE25'!L201+'DOE25'!L219+'DOE25'!L237-F6-G6</f>
        <v>574714.39</v>
      </c>
      <c r="E6" s="243"/>
      <c r="F6" s="255">
        <f>'DOE25'!J201+'DOE25'!J219+'DOE25'!J237</f>
        <v>638.16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652039.7300000001</v>
      </c>
      <c r="D7" s="20">
        <f>'DOE25'!L202+'DOE25'!L220+'DOE25'!L238-F7-G7</f>
        <v>567333.32000000007</v>
      </c>
      <c r="E7" s="243"/>
      <c r="F7" s="255">
        <f>'DOE25'!J202+'DOE25'!J220+'DOE25'!J238</f>
        <v>80888.41</v>
      </c>
      <c r="G7" s="53">
        <f>'DOE25'!K202+'DOE25'!K220+'DOE25'!K238</f>
        <v>3818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321667.00000000006</v>
      </c>
      <c r="D8" s="243"/>
      <c r="E8" s="20">
        <f>'DOE25'!L203+'DOE25'!L221+'DOE25'!L239-F8-G8-D9-D11</f>
        <v>315048.26000000007</v>
      </c>
      <c r="F8" s="255">
        <f>'DOE25'!J203+'DOE25'!J221+'DOE25'!J239</f>
        <v>0</v>
      </c>
      <c r="G8" s="53">
        <f>'DOE25'!K203+'DOE25'!K221+'DOE25'!K239</f>
        <v>6618.74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38825.57</v>
      </c>
      <c r="D9" s="244">
        <v>38825.57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196488</v>
      </c>
      <c r="D11" s="244">
        <v>196488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470006.52999999997</v>
      </c>
      <c r="D12" s="20">
        <f>'DOE25'!L204+'DOE25'!L222+'DOE25'!L240-F12-G12</f>
        <v>469032.87</v>
      </c>
      <c r="E12" s="243"/>
      <c r="F12" s="255">
        <f>'DOE25'!J204+'DOE25'!J222+'DOE25'!J240</f>
        <v>738.66</v>
      </c>
      <c r="G12" s="53">
        <f>'DOE25'!K204+'DOE25'!K222+'DOE25'!K240</f>
        <v>235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7802.39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7802.39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738687.28</v>
      </c>
      <c r="D14" s="20">
        <f>'DOE25'!L206+'DOE25'!L224+'DOE25'!L242-F14-G14</f>
        <v>731545.56</v>
      </c>
      <c r="E14" s="243"/>
      <c r="F14" s="255">
        <f>'DOE25'!J206+'DOE25'!J224+'DOE25'!J242</f>
        <v>7141.72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299570.08999999997</v>
      </c>
      <c r="D15" s="20">
        <f>'DOE25'!L207+'DOE25'!L225+'DOE25'!L243-F15-G15</f>
        <v>299570.08999999997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19289.95</v>
      </c>
      <c r="D16" s="243"/>
      <c r="E16" s="20">
        <f>'DOE25'!L208+'DOE25'!L226+'DOE25'!L244-F16-G16</f>
        <v>19289.95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74810.509999999995</v>
      </c>
      <c r="D22" s="243"/>
      <c r="E22" s="243"/>
      <c r="F22" s="255">
        <f>'DOE25'!L254+'DOE25'!L335</f>
        <v>74810.509999999995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357000</v>
      </c>
      <c r="D25" s="243"/>
      <c r="E25" s="243"/>
      <c r="F25" s="258"/>
      <c r="G25" s="256"/>
      <c r="H25" s="257">
        <f>'DOE25'!L259+'DOE25'!L260+'DOE25'!L340+'DOE25'!L341</f>
        <v>357000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142406.96</v>
      </c>
      <c r="D29" s="20">
        <f>'DOE25'!L357+'DOE25'!L358+'DOE25'!L359-'DOE25'!I366-F29-G29</f>
        <v>129592.95999999999</v>
      </c>
      <c r="E29" s="243"/>
      <c r="F29" s="255">
        <f>'DOE25'!J357+'DOE25'!J358+'DOE25'!J359</f>
        <v>12814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165204.37</v>
      </c>
      <c r="D31" s="20">
        <f>'DOE25'!L289+'DOE25'!L308+'DOE25'!L327+'DOE25'!L332+'DOE25'!L333+'DOE25'!L334-F31-G31</f>
        <v>98973.669999999984</v>
      </c>
      <c r="E31" s="243"/>
      <c r="F31" s="255">
        <f>'DOE25'!J289+'DOE25'!J308+'DOE25'!J327+'DOE25'!J332+'DOE25'!J333+'DOE25'!J334</f>
        <v>57178.270000000004</v>
      </c>
      <c r="G31" s="53">
        <f>'DOE25'!K289+'DOE25'!K308+'DOE25'!K327+'DOE25'!K332+'DOE25'!K333+'DOE25'!K334</f>
        <v>9052.43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11576009.320000002</v>
      </c>
      <c r="E33" s="246">
        <f>SUM(E5:E31)</f>
        <v>341788.21000000008</v>
      </c>
      <c r="F33" s="246">
        <f>SUM(F5:F31)</f>
        <v>246002.91000000003</v>
      </c>
      <c r="G33" s="246">
        <f>SUM(G5:G31)</f>
        <v>27526.560000000001</v>
      </c>
      <c r="H33" s="246">
        <f>SUM(H5:H31)</f>
        <v>357000</v>
      </c>
    </row>
    <row r="35" spans="2:8" ht="12" thickBot="1" x14ac:dyDescent="0.25">
      <c r="B35" s="253" t="s">
        <v>847</v>
      </c>
      <c r="D35" s="254">
        <f>E33</f>
        <v>341788.21000000008</v>
      </c>
      <c r="E35" s="249"/>
    </row>
    <row r="36" spans="2:8" ht="12" thickTop="1" x14ac:dyDescent="0.2">
      <c r="B36" t="s">
        <v>815</v>
      </c>
      <c r="D36" s="20">
        <f>D33</f>
        <v>11576009.320000002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470977.06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381921.04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123544.02</v>
      </c>
      <c r="D11" s="95">
        <f>'DOE25'!G12</f>
        <v>0</v>
      </c>
      <c r="E11" s="95">
        <f>'DOE25'!H12</f>
        <v>13766.77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2273.09</v>
      </c>
      <c r="D12" s="95">
        <f>'DOE25'!G13</f>
        <v>5229.96</v>
      </c>
      <c r="E12" s="95">
        <f>'DOE25'!H13</f>
        <v>21068.92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1258.4100000000001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640.14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598052.57999999996</v>
      </c>
      <c r="D18" s="41">
        <f>SUM(D8:D17)</f>
        <v>5870.1</v>
      </c>
      <c r="E18" s="41">
        <f>SUM(E8:E17)</f>
        <v>34835.69</v>
      </c>
      <c r="F18" s="41">
        <f>SUM(F8:F17)</f>
        <v>0</v>
      </c>
      <c r="G18" s="41">
        <f>SUM(G8:G17)</f>
        <v>381921.04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13766.77</v>
      </c>
      <c r="D21" s="95">
        <f>'DOE25'!G22</f>
        <v>3475.1</v>
      </c>
      <c r="E21" s="95">
        <f>'DOE25'!H22</f>
        <v>21068.92</v>
      </c>
      <c r="F21" s="95">
        <f>'DOE25'!I22</f>
        <v>0</v>
      </c>
      <c r="G21" s="95">
        <f>'DOE25'!J22</f>
        <v>99000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125270.1</v>
      </c>
      <c r="D22" s="95">
        <f>'DOE25'!G23</f>
        <v>0</v>
      </c>
      <c r="E22" s="95">
        <f>'DOE25'!H23</f>
        <v>80.58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83944.28</v>
      </c>
      <c r="D23" s="95">
        <f>'DOE25'!G24</f>
        <v>1754.86</v>
      </c>
      <c r="E23" s="95">
        <f>'DOE25'!H24</f>
        <v>5584.27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138663.22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361644.37</v>
      </c>
      <c r="D31" s="41">
        <f>SUM(D21:D30)</f>
        <v>5229.96</v>
      </c>
      <c r="E31" s="41">
        <f>SUM(E21:E30)</f>
        <v>26733.77</v>
      </c>
      <c r="F31" s="41">
        <f>SUM(F21:F30)</f>
        <v>0</v>
      </c>
      <c r="G31" s="41">
        <f>SUM(G21:G30)</f>
        <v>99000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640.14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8101.92</v>
      </c>
      <c r="F46" s="95">
        <f>'DOE25'!I47</f>
        <v>0</v>
      </c>
      <c r="G46" s="95">
        <f>'DOE25'!J47</f>
        <v>282921.03999999998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236408.21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236408.21</v>
      </c>
      <c r="D49" s="41">
        <f>SUM(D34:D48)</f>
        <v>640.14</v>
      </c>
      <c r="E49" s="41">
        <f>SUM(E34:E48)</f>
        <v>8101.92</v>
      </c>
      <c r="F49" s="41">
        <f>SUM(F34:F48)</f>
        <v>0</v>
      </c>
      <c r="G49" s="41">
        <f>SUM(G34:G48)</f>
        <v>282921.03999999998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598052.57999999996</v>
      </c>
      <c r="D50" s="41">
        <f>D49+D31</f>
        <v>5870.1</v>
      </c>
      <c r="E50" s="41">
        <f>E49+E31</f>
        <v>34835.69</v>
      </c>
      <c r="F50" s="41">
        <f>F49+F31</f>
        <v>0</v>
      </c>
      <c r="G50" s="41">
        <f>G49+G31</f>
        <v>381921.04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7488848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338931.28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310.02999999999997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142461.51999999999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2934.46</v>
      </c>
      <c r="D60" s="95">
        <f>SUM('DOE25'!G97:G109)</f>
        <v>80.58</v>
      </c>
      <c r="E60" s="95">
        <f>SUM('DOE25'!H97:H109)</f>
        <v>62749.94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341865.74000000005</v>
      </c>
      <c r="D61" s="130">
        <f>SUM(D56:D60)</f>
        <v>142542.09999999998</v>
      </c>
      <c r="E61" s="130">
        <f>SUM(E56:E60)</f>
        <v>62749.94</v>
      </c>
      <c r="F61" s="130">
        <f>SUM(F56:F60)</f>
        <v>0</v>
      </c>
      <c r="G61" s="130">
        <f>SUM(G56:G60)</f>
        <v>310.02999999999997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7830713.7400000002</v>
      </c>
      <c r="D62" s="22">
        <f>D55+D61</f>
        <v>142542.09999999998</v>
      </c>
      <c r="E62" s="22">
        <f>E55+E61</f>
        <v>62749.94</v>
      </c>
      <c r="F62" s="22">
        <f>F55+F61</f>
        <v>0</v>
      </c>
      <c r="G62" s="22">
        <f>G55+G61</f>
        <v>310.02999999999997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4260851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4260851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116411.55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2587.65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116411.55</v>
      </c>
      <c r="D77" s="130">
        <f>SUM(D71:D76)</f>
        <v>2587.65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4377262.55</v>
      </c>
      <c r="D80" s="130">
        <f>SUM(D78:D79)+D77+D69</f>
        <v>2587.65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64919.13</v>
      </c>
      <c r="D87" s="95">
        <f>SUM('DOE25'!G152:G160)</f>
        <v>24309.61</v>
      </c>
      <c r="E87" s="95">
        <f>SUM('DOE25'!H152:H160)</f>
        <v>90792.89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64919.13</v>
      </c>
      <c r="D90" s="131">
        <f>SUM(D84:D89)</f>
        <v>24309.61</v>
      </c>
      <c r="E90" s="131">
        <f>SUM(E84:E89)</f>
        <v>90792.89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28682.87</v>
      </c>
      <c r="E95" s="95">
        <f>'DOE25'!H178</f>
        <v>167.35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1755.4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99000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100755.4</v>
      </c>
      <c r="D102" s="86">
        <f>SUM(D92:D101)</f>
        <v>28682.87</v>
      </c>
      <c r="E102" s="86">
        <f>SUM(E92:E101)</f>
        <v>167.35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12373650.82</v>
      </c>
      <c r="D103" s="86">
        <f>D62+D80+D90+D102</f>
        <v>198122.22999999998</v>
      </c>
      <c r="E103" s="86">
        <f>E62+E80+E90+E102</f>
        <v>153710.18000000002</v>
      </c>
      <c r="F103" s="86">
        <f>F62+F80+F90+F102</f>
        <v>0</v>
      </c>
      <c r="G103" s="86">
        <f>G62+G80+G102</f>
        <v>310.02999999999997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7330824.6900000004</v>
      </c>
      <c r="D108" s="24" t="s">
        <v>289</v>
      </c>
      <c r="E108" s="95">
        <f>('DOE25'!L275)+('DOE25'!L294)+('DOE25'!L313)</f>
        <v>38313.24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1044183.5099999999</v>
      </c>
      <c r="D109" s="24" t="s">
        <v>289</v>
      </c>
      <c r="E109" s="95">
        <f>('DOE25'!L276)+('DOE25'!L295)+('DOE25'!L314)</f>
        <v>10647.41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106717.87000000001</v>
      </c>
      <c r="D111" s="24" t="s">
        <v>289</v>
      </c>
      <c r="E111" s="95">
        <f>+('DOE25'!L278)+('DOE25'!L297)+('DOE25'!L316)</f>
        <v>49110.62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8481726.0700000003</v>
      </c>
      <c r="D114" s="86">
        <f>SUM(D108:D113)</f>
        <v>0</v>
      </c>
      <c r="E114" s="86">
        <f>SUM(E108:E113)</f>
        <v>98071.26999999999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575352.55000000005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652039.7300000001</v>
      </c>
      <c r="D118" s="24" t="s">
        <v>289</v>
      </c>
      <c r="E118" s="95">
        <f>+('DOE25'!L281)+('DOE25'!L300)+('DOE25'!L319)</f>
        <v>56730.950000000004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556980.57000000007</v>
      </c>
      <c r="D119" s="24" t="s">
        <v>289</v>
      </c>
      <c r="E119" s="95">
        <f>+('DOE25'!L282)+('DOE25'!L301)+('DOE25'!L320)</f>
        <v>8792.2800000000007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470006.52999999997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7802.39</v>
      </c>
      <c r="D121" s="24" t="s">
        <v>289</v>
      </c>
      <c r="E121" s="95">
        <f>+('DOE25'!L284)+('DOE25'!L303)+('DOE25'!L322)</f>
        <v>210.15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738687.28</v>
      </c>
      <c r="D122" s="24" t="s">
        <v>289</v>
      </c>
      <c r="E122" s="95">
        <f>+('DOE25'!L285)+('DOE25'!L304)+('DOE25'!L323)</f>
        <v>945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299570.08999999997</v>
      </c>
      <c r="D123" s="24" t="s">
        <v>289</v>
      </c>
      <c r="E123" s="95">
        <f>+('DOE25'!L286)+('DOE25'!L305)+('DOE25'!L324)</f>
        <v>454.72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19289.95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205606.72999999998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3319729.0900000008</v>
      </c>
      <c r="D127" s="86">
        <f>SUM(D117:D126)</f>
        <v>205606.72999999998</v>
      </c>
      <c r="E127" s="86">
        <f>SUM(E117:E126)</f>
        <v>67133.100000000006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74810.509999999995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77000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1755.4</v>
      </c>
      <c r="F133" s="95">
        <f>'DOE25'!K380</f>
        <v>0</v>
      </c>
      <c r="G133" s="95">
        <f>'DOE25'!K433</f>
        <v>99000</v>
      </c>
    </row>
    <row r="134" spans="1:7" x14ac:dyDescent="0.2">
      <c r="A134" t="s">
        <v>233</v>
      </c>
      <c r="B134" s="32" t="s">
        <v>234</v>
      </c>
      <c r="C134" s="95">
        <f>'DOE25'!L262</f>
        <v>28682.87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167.35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310.02999999999997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-310.02999999999997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460660.73</v>
      </c>
      <c r="D143" s="141">
        <f>SUM(D129:D142)</f>
        <v>0</v>
      </c>
      <c r="E143" s="141">
        <f>SUM(E129:E142)</f>
        <v>1755.4</v>
      </c>
      <c r="F143" s="141">
        <f>SUM(F129:F142)</f>
        <v>0</v>
      </c>
      <c r="G143" s="141">
        <f>SUM(G129:G142)</f>
        <v>99000</v>
      </c>
    </row>
    <row r="144" spans="1:7" ht="12.75" thickTop="1" thickBot="1" x14ac:dyDescent="0.25">
      <c r="A144" s="33" t="s">
        <v>244</v>
      </c>
      <c r="C144" s="86">
        <f>(C114+C127+C143)</f>
        <v>12262115.890000001</v>
      </c>
      <c r="D144" s="86">
        <f>(D114+D127+D143)</f>
        <v>205606.72999999998</v>
      </c>
      <c r="E144" s="86">
        <f>(E114+E127+E143)</f>
        <v>166959.76999999999</v>
      </c>
      <c r="F144" s="86">
        <f>(F114+F127+F143)</f>
        <v>0</v>
      </c>
      <c r="G144" s="86">
        <f>(G114+G127+G143)</f>
        <v>99000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12/96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8844720.8000000007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5.45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1400000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280000</v>
      </c>
    </row>
    <row r="158" spans="1:9" x14ac:dyDescent="0.2">
      <c r="A158" s="22" t="s">
        <v>35</v>
      </c>
      <c r="B158" s="137">
        <f>'DOE25'!F497</f>
        <v>1120000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1120000</v>
      </c>
    </row>
    <row r="159" spans="1:9" x14ac:dyDescent="0.2">
      <c r="A159" s="22" t="s">
        <v>36</v>
      </c>
      <c r="B159" s="137">
        <f>'DOE25'!F498</f>
        <v>154000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154000</v>
      </c>
    </row>
    <row r="160" spans="1:9" x14ac:dyDescent="0.2">
      <c r="A160" s="22" t="s">
        <v>37</v>
      </c>
      <c r="B160" s="137">
        <f>'DOE25'!F499</f>
        <v>1274000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1274000</v>
      </c>
    </row>
    <row r="161" spans="1:7" x14ac:dyDescent="0.2">
      <c r="A161" s="22" t="s">
        <v>38</v>
      </c>
      <c r="B161" s="137">
        <f>'DOE25'!F500</f>
        <v>280000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280000</v>
      </c>
    </row>
    <row r="162" spans="1:7" x14ac:dyDescent="0.2">
      <c r="A162" s="22" t="s">
        <v>39</v>
      </c>
      <c r="B162" s="137">
        <f>'DOE25'!F501</f>
        <v>61600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61600</v>
      </c>
    </row>
    <row r="163" spans="1:7" x14ac:dyDescent="0.2">
      <c r="A163" s="22" t="s">
        <v>246</v>
      </c>
      <c r="B163" s="137">
        <f>'DOE25'!F502</f>
        <v>341600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341600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RYE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17024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17024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7369138</v>
      </c>
      <c r="D10" s="182">
        <f>ROUND((C10/$C$28)*100,1)</f>
        <v>60.9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1054831</v>
      </c>
      <c r="D11" s="182">
        <f>ROUND((C11/$C$28)*100,1)</f>
        <v>8.6999999999999993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155828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575353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708771</v>
      </c>
      <c r="D16" s="182">
        <f t="shared" si="0"/>
        <v>5.9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585063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470007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8013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739632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300025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77000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63064.900000000023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12106725.9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74811</v>
      </c>
    </row>
    <row r="30" spans="1:4" x14ac:dyDescent="0.2">
      <c r="B30" s="187" t="s">
        <v>729</v>
      </c>
      <c r="C30" s="180">
        <f>SUM(C28:C29)</f>
        <v>12181536.9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280000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7488848</v>
      </c>
      <c r="D35" s="182">
        <f t="shared" ref="D35:D40" si="1">ROUND((C35/$C$41)*100,1)</f>
        <v>60.1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404925.71000000089</v>
      </c>
      <c r="D36" s="182">
        <f t="shared" si="1"/>
        <v>3.3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4260851</v>
      </c>
      <c r="D37" s="182">
        <f t="shared" si="1"/>
        <v>34.200000000000003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118999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180022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12453645.710000001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RYE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2013-07-22T13:08:00Z</cp:lastPrinted>
  <dcterms:created xsi:type="dcterms:W3CDTF">1997-12-04T19:04:30Z</dcterms:created>
  <dcterms:modified xsi:type="dcterms:W3CDTF">2013-12-02T18:49:15Z</dcterms:modified>
</cp:coreProperties>
</file>