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270" windowWidth="12735" windowHeight="62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581" i="1" l="1"/>
  <c r="G581" i="1"/>
  <c r="F581" i="1"/>
  <c r="I522" i="1" l="1"/>
  <c r="I521" i="1"/>
  <c r="I520" i="1"/>
  <c r="H522" i="1"/>
  <c r="H521" i="1"/>
  <c r="H520" i="1"/>
  <c r="G522" i="1"/>
  <c r="G521" i="1"/>
  <c r="G520" i="1"/>
  <c r="F522" i="1"/>
  <c r="F521" i="1"/>
  <c r="F520" i="1"/>
  <c r="I525" i="1" l="1"/>
  <c r="H526" i="1"/>
  <c r="H525" i="1"/>
  <c r="G525" i="1"/>
  <c r="F527" i="1"/>
  <c r="G527" i="1" s="1"/>
  <c r="F526" i="1"/>
  <c r="G526" i="1" s="1"/>
  <c r="F525" i="1"/>
  <c r="F532" i="1" l="1"/>
  <c r="G532" i="1" s="1"/>
  <c r="F531" i="1"/>
  <c r="G531" i="1" s="1"/>
  <c r="F530" i="1"/>
  <c r="G530" i="1" s="1"/>
  <c r="H359" i="1" l="1"/>
  <c r="G40" i="1" l="1"/>
  <c r="J522" i="1" l="1"/>
  <c r="K522" i="1"/>
  <c r="J521" i="1"/>
  <c r="K521" i="1"/>
  <c r="J520" i="1"/>
  <c r="K520" i="1"/>
  <c r="H542" i="1"/>
  <c r="H541" i="1"/>
  <c r="H540" i="1"/>
  <c r="F49" i="1" l="1"/>
  <c r="K239" i="1" l="1"/>
  <c r="F159" i="1"/>
  <c r="J238" i="1" l="1"/>
  <c r="H243" i="1"/>
  <c r="F22" i="1" l="1"/>
  <c r="F180" i="1" l="1"/>
  <c r="F13" i="1"/>
  <c r="G467" i="1" l="1"/>
  <c r="G501" i="1" l="1"/>
  <c r="H501" i="1"/>
  <c r="F501" i="1"/>
  <c r="H497" i="1"/>
  <c r="G497" i="1"/>
  <c r="F497" i="1"/>
  <c r="D9" i="13" l="1"/>
  <c r="G232" i="1"/>
  <c r="G239" i="1"/>
  <c r="G221" i="1"/>
  <c r="G203" i="1"/>
  <c r="F232" i="1"/>
  <c r="F239" i="1"/>
  <c r="F221" i="1"/>
  <c r="F203" i="1"/>
  <c r="F109" i="1" l="1"/>
  <c r="F14" i="1" l="1"/>
  <c r="J467" i="1"/>
  <c r="F126" i="1"/>
  <c r="F123" i="1"/>
  <c r="F56" i="1"/>
  <c r="G439" i="1"/>
  <c r="G332" i="1" l="1"/>
  <c r="F332" i="1"/>
  <c r="I332" i="1"/>
  <c r="H47" i="1" l="1"/>
  <c r="H101" i="1"/>
  <c r="H158" i="1"/>
  <c r="H153" i="1"/>
  <c r="H154" i="1"/>
  <c r="H156" i="1"/>
  <c r="H13" i="1"/>
  <c r="I47" i="1" l="1"/>
  <c r="H377" i="1"/>
  <c r="G96" i="1" l="1"/>
  <c r="C37" i="10" l="1"/>
  <c r="F40" i="2" l="1"/>
  <c r="D39" i="2"/>
  <c r="G654" i="1"/>
  <c r="F47" i="2"/>
  <c r="E47" i="2"/>
  <c r="D47" i="2"/>
  <c r="C47" i="2"/>
  <c r="F46" i="2"/>
  <c r="E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C108" i="2" s="1"/>
  <c r="L233" i="1"/>
  <c r="L234" i="1"/>
  <c r="L235" i="1"/>
  <c r="F6" i="13"/>
  <c r="G6" i="13"/>
  <c r="L201" i="1"/>
  <c r="L219" i="1"/>
  <c r="L237" i="1"/>
  <c r="F7" i="13"/>
  <c r="G7" i="13"/>
  <c r="L202" i="1"/>
  <c r="L220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G649" i="1" s="1"/>
  <c r="L243" i="1"/>
  <c r="F17" i="13"/>
  <c r="G17" i="13"/>
  <c r="L250" i="1"/>
  <c r="F18" i="13"/>
  <c r="G18" i="13"/>
  <c r="D18" i="13" s="1"/>
  <c r="C18" i="13" s="1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E124" i="2" s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E111" i="2" s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E130" i="2" s="1"/>
  <c r="L341" i="1"/>
  <c r="L254" i="1"/>
  <c r="L335" i="1"/>
  <c r="E129" i="2" s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A13" i="12" s="1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D55" i="2" s="1"/>
  <c r="H59" i="1"/>
  <c r="I59" i="1"/>
  <c r="F78" i="1"/>
  <c r="C56" i="2" s="1"/>
  <c r="F93" i="1"/>
  <c r="C57" i="2" s="1"/>
  <c r="F110" i="1"/>
  <c r="G110" i="1"/>
  <c r="H78" i="1"/>
  <c r="H93" i="1"/>
  <c r="H111" i="1" s="1"/>
  <c r="H110" i="1"/>
  <c r="I110" i="1"/>
  <c r="I111" i="1" s="1"/>
  <c r="J110" i="1"/>
  <c r="J111" i="1" s="1"/>
  <c r="F120" i="1"/>
  <c r="F135" i="1"/>
  <c r="G120" i="1"/>
  <c r="G135" i="1"/>
  <c r="H120" i="1"/>
  <c r="H139" i="1" s="1"/>
  <c r="H135" i="1"/>
  <c r="I120" i="1"/>
  <c r="I135" i="1"/>
  <c r="J120" i="1"/>
  <c r="J135" i="1"/>
  <c r="F146" i="1"/>
  <c r="C84" i="2" s="1"/>
  <c r="F161" i="1"/>
  <c r="G146" i="1"/>
  <c r="D84" i="2" s="1"/>
  <c r="G161" i="1"/>
  <c r="H146" i="1"/>
  <c r="H161" i="1"/>
  <c r="I146" i="1"/>
  <c r="F84" i="2" s="1"/>
  <c r="I161" i="1"/>
  <c r="L249" i="1"/>
  <c r="L331" i="1"/>
  <c r="L253" i="1"/>
  <c r="L267" i="1"/>
  <c r="L268" i="1"/>
  <c r="C142" i="2" s="1"/>
  <c r="L348" i="1"/>
  <c r="L349" i="1"/>
  <c r="E142" i="2" s="1"/>
  <c r="I664" i="1"/>
  <c r="I669" i="1"/>
  <c r="I668" i="1"/>
  <c r="C42" i="10"/>
  <c r="L373" i="1"/>
  <c r="L374" i="1"/>
  <c r="L375" i="1"/>
  <c r="L376" i="1"/>
  <c r="L377" i="1"/>
  <c r="L378" i="1"/>
  <c r="L379" i="1"/>
  <c r="B2" i="10"/>
  <c r="L343" i="1"/>
  <c r="E133" i="2" s="1"/>
  <c r="L344" i="1"/>
  <c r="E134" i="2" s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K269" i="1"/>
  <c r="J269" i="1"/>
  <c r="I269" i="1"/>
  <c r="H269" i="1"/>
  <c r="G269" i="1"/>
  <c r="F269" i="1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G36" i="2" s="1"/>
  <c r="I458" i="1"/>
  <c r="J47" i="1" s="1"/>
  <c r="G46" i="2" s="1"/>
  <c r="C48" i="2"/>
  <c r="E55" i="2"/>
  <c r="F55" i="2"/>
  <c r="E56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G80" i="2" s="1"/>
  <c r="C78" i="2"/>
  <c r="D78" i="2"/>
  <c r="E78" i="2"/>
  <c r="C79" i="2"/>
  <c r="E79" i="2"/>
  <c r="E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G102" i="2" s="1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08" i="2"/>
  <c r="E110" i="2"/>
  <c r="C112" i="2"/>
  <c r="E112" i="2"/>
  <c r="D114" i="2"/>
  <c r="F114" i="2"/>
  <c r="G114" i="2"/>
  <c r="E119" i="2"/>
  <c r="E120" i="2"/>
  <c r="E121" i="2"/>
  <c r="E123" i="2"/>
  <c r="F127" i="2"/>
  <c r="G127" i="2"/>
  <c r="C129" i="2"/>
  <c r="D133" i="2"/>
  <c r="D143" i="2" s="1"/>
  <c r="F133" i="2"/>
  <c r="K418" i="1"/>
  <c r="K426" i="1"/>
  <c r="K432" i="1"/>
  <c r="L262" i="1"/>
  <c r="C134" i="2" s="1"/>
  <c r="L263" i="1"/>
  <c r="C135" i="2" s="1"/>
  <c r="L264" i="1"/>
  <c r="C136" i="2" s="1"/>
  <c r="E136" i="2"/>
  <c r="C141" i="2"/>
  <c r="E141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G617" i="1" s="1"/>
  <c r="H19" i="1"/>
  <c r="G618" i="1" s="1"/>
  <c r="I19" i="1"/>
  <c r="G619" i="1" s="1"/>
  <c r="F32" i="1"/>
  <c r="G32" i="1"/>
  <c r="G47" i="1" s="1"/>
  <c r="H32" i="1"/>
  <c r="I32" i="1"/>
  <c r="F50" i="1"/>
  <c r="G621" i="1" s="1"/>
  <c r="H50" i="1"/>
  <c r="G623" i="1" s="1"/>
  <c r="I50" i="1"/>
  <c r="F176" i="1"/>
  <c r="I176" i="1"/>
  <c r="F182" i="1"/>
  <c r="G182" i="1"/>
  <c r="G191" i="1" s="1"/>
  <c r="H182" i="1"/>
  <c r="I182" i="1"/>
  <c r="J182" i="1"/>
  <c r="J191" i="1" s="1"/>
  <c r="F187" i="1"/>
  <c r="G187" i="1"/>
  <c r="H187" i="1"/>
  <c r="H191" i="1" s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I246" i="1"/>
  <c r="J246" i="1"/>
  <c r="K246" i="1"/>
  <c r="F255" i="1"/>
  <c r="G255" i="1"/>
  <c r="H255" i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F361" i="1"/>
  <c r="G361" i="1"/>
  <c r="H361" i="1"/>
  <c r="I361" i="1"/>
  <c r="G633" i="1" s="1"/>
  <c r="J361" i="1"/>
  <c r="K361" i="1"/>
  <c r="I367" i="1"/>
  <c r="F368" i="1"/>
  <c r="G368" i="1"/>
  <c r="H368" i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F407" i="1" s="1"/>
  <c r="H642" i="1" s="1"/>
  <c r="G406" i="1"/>
  <c r="H406" i="1"/>
  <c r="I406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638" i="1" s="1"/>
  <c r="G445" i="1"/>
  <c r="G639" i="1" s="1"/>
  <c r="H445" i="1"/>
  <c r="G640" i="1" s="1"/>
  <c r="F451" i="1"/>
  <c r="G451" i="1"/>
  <c r="H451" i="1"/>
  <c r="F459" i="1"/>
  <c r="G459" i="1"/>
  <c r="H459" i="1"/>
  <c r="F460" i="1"/>
  <c r="H638" i="1" s="1"/>
  <c r="G460" i="1"/>
  <c r="H639" i="1" s="1"/>
  <c r="H460" i="1"/>
  <c r="H640" i="1" s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F543" i="1"/>
  <c r="G543" i="1"/>
  <c r="H543" i="1"/>
  <c r="I543" i="1"/>
  <c r="J543" i="1"/>
  <c r="K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H626" i="1"/>
  <c r="H627" i="1"/>
  <c r="H628" i="1"/>
  <c r="H629" i="1"/>
  <c r="H630" i="1"/>
  <c r="H631" i="1"/>
  <c r="H632" i="1"/>
  <c r="H634" i="1"/>
  <c r="H635" i="1"/>
  <c r="H636" i="1"/>
  <c r="H637" i="1"/>
  <c r="G642" i="1"/>
  <c r="G643" i="1"/>
  <c r="G644" i="1"/>
  <c r="G648" i="1"/>
  <c r="G651" i="1"/>
  <c r="H651" i="1"/>
  <c r="G652" i="1"/>
  <c r="H652" i="1"/>
  <c r="G653" i="1"/>
  <c r="H653" i="1"/>
  <c r="H654" i="1"/>
  <c r="F61" i="2"/>
  <c r="F62" i="2" s="1"/>
  <c r="E77" i="2"/>
  <c r="J139" i="1"/>
  <c r="G22" i="2"/>
  <c r="F22" i="13"/>
  <c r="C22" i="13" s="1"/>
  <c r="F191" i="1" l="1"/>
  <c r="H407" i="1"/>
  <c r="H643" i="1" s="1"/>
  <c r="J475" i="1"/>
  <c r="H625" i="1" s="1"/>
  <c r="I459" i="1"/>
  <c r="I451" i="1"/>
  <c r="G407" i="1"/>
  <c r="H644" i="1" s="1"/>
  <c r="G551" i="1"/>
  <c r="J648" i="1"/>
  <c r="D80" i="2"/>
  <c r="D90" i="2"/>
  <c r="L418" i="1"/>
  <c r="G544" i="1"/>
  <c r="J544" i="1"/>
  <c r="I368" i="1"/>
  <c r="H633" i="1" s="1"/>
  <c r="C90" i="2"/>
  <c r="H551" i="1"/>
  <c r="H661" i="1"/>
  <c r="D6" i="13"/>
  <c r="C6" i="13" s="1"/>
  <c r="L533" i="1"/>
  <c r="H475" i="1"/>
  <c r="H623" i="1" s="1"/>
  <c r="J623" i="1" s="1"/>
  <c r="J640" i="1"/>
  <c r="E102" i="2"/>
  <c r="H168" i="1"/>
  <c r="F168" i="1"/>
  <c r="C25" i="10"/>
  <c r="I544" i="1"/>
  <c r="E122" i="2"/>
  <c r="K604" i="1"/>
  <c r="G647" i="1" s="1"/>
  <c r="L569" i="1"/>
  <c r="H544" i="1"/>
  <c r="G650" i="1"/>
  <c r="J650" i="1" s="1"/>
  <c r="D19" i="13"/>
  <c r="C19" i="13" s="1"/>
  <c r="I256" i="1"/>
  <c r="I270" i="1" s="1"/>
  <c r="C13" i="10"/>
  <c r="K256" i="1"/>
  <c r="K270" i="1" s="1"/>
  <c r="C49" i="2"/>
  <c r="F475" i="1"/>
  <c r="H621" i="1" s="1"/>
  <c r="J621" i="1" s="1"/>
  <c r="F51" i="1"/>
  <c r="H616" i="1" s="1"/>
  <c r="J616" i="1" s="1"/>
  <c r="I475" i="1"/>
  <c r="H624" i="1" s="1"/>
  <c r="I407" i="1"/>
  <c r="C32" i="10"/>
  <c r="G661" i="1"/>
  <c r="C26" i="10"/>
  <c r="L400" i="1"/>
  <c r="C138" i="2" s="1"/>
  <c r="J654" i="1"/>
  <c r="J644" i="1"/>
  <c r="J570" i="1"/>
  <c r="K570" i="1"/>
  <c r="L559" i="1"/>
  <c r="D46" i="2"/>
  <c r="D49" i="2" s="1"/>
  <c r="G50" i="1"/>
  <c r="G622" i="1" s="1"/>
  <c r="G155" i="2"/>
  <c r="E57" i="2"/>
  <c r="E61" i="2" s="1"/>
  <c r="E62" i="2" s="1"/>
  <c r="C31" i="2"/>
  <c r="D31" i="2"/>
  <c r="E31" i="2"/>
  <c r="J642" i="1"/>
  <c r="I168" i="1"/>
  <c r="L528" i="1"/>
  <c r="G61" i="2"/>
  <c r="G159" i="2"/>
  <c r="G161" i="2"/>
  <c r="K499" i="1"/>
  <c r="A31" i="12"/>
  <c r="C124" i="2"/>
  <c r="E8" i="13"/>
  <c r="C8" i="13" s="1"/>
  <c r="C109" i="2"/>
  <c r="G256" i="1"/>
  <c r="G270" i="1" s="1"/>
  <c r="E16" i="13"/>
  <c r="C16" i="13" s="1"/>
  <c r="C113" i="2"/>
  <c r="D17" i="13"/>
  <c r="C17" i="13" s="1"/>
  <c r="L255" i="1"/>
  <c r="C20" i="10"/>
  <c r="D5" i="13"/>
  <c r="C5" i="13" s="1"/>
  <c r="C111" i="2"/>
  <c r="F256" i="1"/>
  <c r="F270" i="1" s="1"/>
  <c r="D14" i="13"/>
  <c r="C14" i="13" s="1"/>
  <c r="C122" i="2"/>
  <c r="L210" i="1"/>
  <c r="C120" i="2"/>
  <c r="J638" i="1"/>
  <c r="I445" i="1"/>
  <c r="G641" i="1" s="1"/>
  <c r="L392" i="1"/>
  <c r="C137" i="2" s="1"/>
  <c r="K337" i="1"/>
  <c r="K351" i="1" s="1"/>
  <c r="E113" i="2"/>
  <c r="G337" i="1"/>
  <c r="G351" i="1" s="1"/>
  <c r="F337" i="1"/>
  <c r="F351" i="1" s="1"/>
  <c r="A40" i="12"/>
  <c r="L327" i="1"/>
  <c r="L308" i="1"/>
  <c r="E118" i="2"/>
  <c r="E117" i="2"/>
  <c r="C11" i="10"/>
  <c r="E109" i="2"/>
  <c r="H51" i="1"/>
  <c r="H618" i="1" s="1"/>
  <c r="K597" i="1"/>
  <c r="G646" i="1" s="1"/>
  <c r="L564" i="1"/>
  <c r="L570" i="1" s="1"/>
  <c r="H570" i="1"/>
  <c r="L432" i="1"/>
  <c r="L426" i="1"/>
  <c r="H337" i="1"/>
  <c r="H351" i="1" s="1"/>
  <c r="E49" i="2"/>
  <c r="C18" i="2"/>
  <c r="E18" i="2"/>
  <c r="C61" i="2"/>
  <c r="F111" i="1"/>
  <c r="E143" i="2"/>
  <c r="C10" i="10"/>
  <c r="C21" i="10"/>
  <c r="C15" i="10"/>
  <c r="L228" i="1"/>
  <c r="C12" i="10"/>
  <c r="C19" i="10"/>
  <c r="C17" i="10"/>
  <c r="F570" i="1"/>
  <c r="K544" i="1"/>
  <c r="J639" i="1"/>
  <c r="J256" i="1"/>
  <c r="J270" i="1" s="1"/>
  <c r="G163" i="2"/>
  <c r="G162" i="2"/>
  <c r="G160" i="2"/>
  <c r="G158" i="2"/>
  <c r="G157" i="2"/>
  <c r="G156" i="2"/>
  <c r="F102" i="2"/>
  <c r="C102" i="2"/>
  <c r="F90" i="2"/>
  <c r="C77" i="2"/>
  <c r="F77" i="2"/>
  <c r="F80" i="2" s="1"/>
  <c r="F103" i="2" s="1"/>
  <c r="C69" i="2"/>
  <c r="J643" i="1"/>
  <c r="I570" i="1"/>
  <c r="L269" i="1"/>
  <c r="J551" i="1"/>
  <c r="I551" i="1"/>
  <c r="K548" i="1"/>
  <c r="F551" i="1"/>
  <c r="L350" i="1"/>
  <c r="C29" i="10"/>
  <c r="F31" i="2"/>
  <c r="I51" i="1"/>
  <c r="H619" i="1" s="1"/>
  <c r="J619" i="1" s="1"/>
  <c r="F49" i="2"/>
  <c r="F18" i="2"/>
  <c r="K550" i="1"/>
  <c r="C35" i="10"/>
  <c r="H25" i="13"/>
  <c r="K549" i="1"/>
  <c r="E13" i="13"/>
  <c r="C13" i="13" s="1"/>
  <c r="D15" i="13"/>
  <c r="C15" i="13" s="1"/>
  <c r="D12" i="13"/>
  <c r="C12" i="13" s="1"/>
  <c r="L289" i="1"/>
  <c r="H646" i="1"/>
  <c r="L538" i="1"/>
  <c r="K502" i="1"/>
  <c r="G475" i="1"/>
  <c r="H622" i="1" s="1"/>
  <c r="L381" i="1"/>
  <c r="G635" i="1" s="1"/>
  <c r="J635" i="1" s="1"/>
  <c r="L336" i="1"/>
  <c r="F129" i="2"/>
  <c r="F143" i="2" s="1"/>
  <c r="F144" i="2" s="1"/>
  <c r="C123" i="2"/>
  <c r="C121" i="2"/>
  <c r="C119" i="2"/>
  <c r="C117" i="2"/>
  <c r="C110" i="2"/>
  <c r="D61" i="2"/>
  <c r="D62" i="2" s="1"/>
  <c r="C55" i="2"/>
  <c r="F661" i="1"/>
  <c r="C23" i="10"/>
  <c r="G111" i="1"/>
  <c r="L543" i="1"/>
  <c r="L523" i="1"/>
  <c r="J337" i="1"/>
  <c r="J351" i="1" s="1"/>
  <c r="C18" i="10"/>
  <c r="E80" i="2"/>
  <c r="G624" i="1"/>
  <c r="J624" i="1" s="1"/>
  <c r="L613" i="1"/>
  <c r="C131" i="2"/>
  <c r="J633" i="1"/>
  <c r="G660" i="1"/>
  <c r="H660" i="1"/>
  <c r="L361" i="1"/>
  <c r="G634" i="1" s="1"/>
  <c r="J634" i="1" s="1"/>
  <c r="D29" i="13"/>
  <c r="C29" i="13" s="1"/>
  <c r="D126" i="2"/>
  <c r="D127" i="2" s="1"/>
  <c r="D144" i="2" s="1"/>
  <c r="F660" i="1"/>
  <c r="D18" i="2"/>
  <c r="C24" i="10"/>
  <c r="G31" i="13"/>
  <c r="G33" i="13" s="1"/>
  <c r="I337" i="1"/>
  <c r="I351" i="1" s="1"/>
  <c r="J649" i="1"/>
  <c r="L406" i="1"/>
  <c r="C139" i="2" s="1"/>
  <c r="I191" i="1"/>
  <c r="E90" i="2"/>
  <c r="J653" i="1"/>
  <c r="J652" i="1"/>
  <c r="G21" i="2"/>
  <c r="G31" i="2" s="1"/>
  <c r="J32" i="1"/>
  <c r="J433" i="1"/>
  <c r="F433" i="1"/>
  <c r="K433" i="1"/>
  <c r="G133" i="2" s="1"/>
  <c r="G143" i="2" s="1"/>
  <c r="G144" i="2" s="1"/>
  <c r="F31" i="13"/>
  <c r="F33" i="13" s="1"/>
  <c r="J192" i="1"/>
  <c r="G645" i="1" s="1"/>
  <c r="H192" i="1"/>
  <c r="G628" i="1" s="1"/>
  <c r="J628" i="1" s="1"/>
  <c r="G168" i="1"/>
  <c r="G139" i="1"/>
  <c r="F139" i="1"/>
  <c r="G62" i="2"/>
  <c r="G103" i="2" s="1"/>
  <c r="G42" i="2"/>
  <c r="G49" i="2" s="1"/>
  <c r="J50" i="1"/>
  <c r="G16" i="2"/>
  <c r="G18" i="2" s="1"/>
  <c r="J19" i="1"/>
  <c r="G620" i="1" s="1"/>
  <c r="F544" i="1"/>
  <c r="H433" i="1"/>
  <c r="J618" i="1"/>
  <c r="D102" i="2"/>
  <c r="D103" i="2" s="1"/>
  <c r="I139" i="1"/>
  <c r="A22" i="12"/>
  <c r="J651" i="1"/>
  <c r="G570" i="1"/>
  <c r="I433" i="1"/>
  <c r="G433" i="1"/>
  <c r="I662" i="1"/>
  <c r="D50" i="2" l="1"/>
  <c r="I460" i="1"/>
  <c r="H641" i="1" s="1"/>
  <c r="J641" i="1" s="1"/>
  <c r="F50" i="2"/>
  <c r="I192" i="1"/>
  <c r="G629" i="1" s="1"/>
  <c r="J629" i="1" s="1"/>
  <c r="C39" i="10"/>
  <c r="L407" i="1"/>
  <c r="G636" i="1" s="1"/>
  <c r="J636" i="1" s="1"/>
  <c r="L433" i="1"/>
  <c r="G637" i="1" s="1"/>
  <c r="J637" i="1" s="1"/>
  <c r="E103" i="2"/>
  <c r="L544" i="1"/>
  <c r="J646" i="1"/>
  <c r="E50" i="2"/>
  <c r="J622" i="1"/>
  <c r="G51" i="1"/>
  <c r="H617" i="1" s="1"/>
  <c r="J617" i="1" s="1"/>
  <c r="I661" i="1"/>
  <c r="F659" i="1"/>
  <c r="F663" i="1" s="1"/>
  <c r="F671" i="1" s="1"/>
  <c r="C4" i="10" s="1"/>
  <c r="C50" i="2"/>
  <c r="C36" i="10"/>
  <c r="C80" i="2"/>
  <c r="C114" i="2"/>
  <c r="E33" i="13"/>
  <c r="D35" i="13" s="1"/>
  <c r="G659" i="1"/>
  <c r="G663" i="1" s="1"/>
  <c r="G671" i="1" s="1"/>
  <c r="C5" i="10" s="1"/>
  <c r="F192" i="1"/>
  <c r="G626" i="1" s="1"/>
  <c r="J626" i="1" s="1"/>
  <c r="C62" i="2"/>
  <c r="C140" i="2"/>
  <c r="C143" i="2" s="1"/>
  <c r="E114" i="2"/>
  <c r="E127" i="2"/>
  <c r="L337" i="1"/>
  <c r="L351" i="1" s="1"/>
  <c r="G632" i="1" s="1"/>
  <c r="J632" i="1" s="1"/>
  <c r="H647" i="1"/>
  <c r="J647" i="1" s="1"/>
  <c r="G50" i="2"/>
  <c r="C25" i="13"/>
  <c r="H33" i="13"/>
  <c r="H645" i="1"/>
  <c r="J645" i="1" s="1"/>
  <c r="D31" i="13"/>
  <c r="C31" i="13" s="1"/>
  <c r="K551" i="1"/>
  <c r="C27" i="10"/>
  <c r="I660" i="1"/>
  <c r="G630" i="1"/>
  <c r="J630" i="1" s="1"/>
  <c r="G192" i="1"/>
  <c r="G627" i="1" s="1"/>
  <c r="J627" i="1" s="1"/>
  <c r="G625" i="1"/>
  <c r="J625" i="1" s="1"/>
  <c r="J51" i="1"/>
  <c r="H620" i="1" s="1"/>
  <c r="J620" i="1" s="1"/>
  <c r="C38" i="10"/>
  <c r="C103" i="2" l="1"/>
  <c r="G666" i="1"/>
  <c r="E144" i="2"/>
  <c r="F666" i="1"/>
  <c r="C41" i="10"/>
  <c r="D38" i="10" s="1"/>
  <c r="D37" i="10" l="1"/>
  <c r="D36" i="10"/>
  <c r="D35" i="10"/>
  <c r="D40" i="10"/>
  <c r="D39" i="10"/>
  <c r="D41" i="10" l="1"/>
  <c r="H246" i="1"/>
  <c r="H256" i="1" s="1"/>
  <c r="H270" i="1" s="1"/>
  <c r="L238" i="1"/>
  <c r="D7" i="13" s="1"/>
  <c r="L246" i="1" l="1"/>
  <c r="L256" i="1" s="1"/>
  <c r="L270" i="1" s="1"/>
  <c r="G631" i="1" s="1"/>
  <c r="J631" i="1" s="1"/>
  <c r="C7" i="13"/>
  <c r="D33" i="13"/>
  <c r="D36" i="13" s="1"/>
  <c r="C118" i="2"/>
  <c r="C127" i="2" s="1"/>
  <c r="C144" i="2" s="1"/>
  <c r="C16" i="10"/>
  <c r="H655" i="1" l="1"/>
  <c r="H659" i="1"/>
  <c r="H663" i="1" s="1"/>
  <c r="C28" i="10"/>
  <c r="I659" i="1" l="1"/>
  <c r="I663" i="1" s="1"/>
  <c r="I666" i="1" s="1"/>
  <c r="H666" i="1"/>
  <c r="H671" i="1"/>
  <c r="C6" i="10" s="1"/>
  <c r="D17" i="10"/>
  <c r="D25" i="10"/>
  <c r="D22" i="10"/>
  <c r="D11" i="10"/>
  <c r="D12" i="10"/>
  <c r="D23" i="10"/>
  <c r="D13" i="10"/>
  <c r="D26" i="10"/>
  <c r="D27" i="10"/>
  <c r="D24" i="10"/>
  <c r="D19" i="10"/>
  <c r="D21" i="10"/>
  <c r="D10" i="10"/>
  <c r="C30" i="10"/>
  <c r="D15" i="10"/>
  <c r="D20" i="10"/>
  <c r="D18" i="10"/>
  <c r="D16" i="10"/>
  <c r="I671" i="1" l="1"/>
  <c r="C7" i="10" s="1"/>
  <c r="D28" i="10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<sst xmlns="http://schemas.openxmlformats.org/spreadsheetml/2006/main" count="3952" uniqueCount="917">
  <si>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</si>
  <si>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</si>
  <si>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</si>
  <si>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</si>
  <si>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</si>
  <si>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</si>
  <si>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</si>
  <si>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</si>
  <si>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</si>
  <si>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</si>
  <si>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</si>
  <si>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</si>
  <si>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</si>
  <si>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</si>
  <si>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</si>
  <si>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</si>
  <si>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</si>
  <si>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</si>
  <si>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</si>
  <si>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</si>
  <si>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</si>
  <si>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</si>
  <si>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</si>
  <si>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</si>
  <si>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</si>
  <si>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</si>
  <si>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</si>
  <si>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</si>
  <si>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</si>
  <si>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</si>
  <si>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</si>
  <si>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</si>
  <si>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</si>
  <si>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</si>
  <si>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</si>
  <si>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</si>
  <si>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</si>
  <si>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</si>
  <si>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</si>
  <si>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</si>
  <si>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</si>
  <si>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</si>
  <si>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</si>
  <si>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</si>
  <si>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</si>
  <si>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</si>
  <si>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</si>
  <si>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</si>
  <si>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</si>
  <si>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</si>
  <si>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</si>
  <si>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</si>
  <si>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</si>
  <si>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</si>
  <si>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</si>
  <si>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</si>
  <si>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</si>
  <si>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</si>
  <si>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</si>
  <si>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</si>
  <si>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</si>
  <si>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</si>
  <si>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</si>
  <si>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</si>
  <si>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</si>
  <si>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</si>
  <si>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</si>
  <si>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</si>
  <si>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</si>
  <si>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</si>
  <si>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</si>
  <si>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</si>
  <si>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</si>
  <si>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</si>
  <si>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</si>
  <si>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</si>
  <si>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</si>
  <si>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</si>
  <si>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</si>
  <si>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</si>
  <si>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</si>
  <si>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</si>
  <si>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</si>
  <si>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</si>
  <si>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</si>
  <si>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</si>
  <si>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</si>
  <si>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</si>
  <si>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</si>
  <si>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</si>
  <si>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</si>
  <si>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</si>
  <si>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</si>
  <si>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</si>
  <si>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</si>
  <si>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</si>
  <si>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</si>
  <si>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</si>
  <si>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</si>
  <si>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</si>
  <si>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</si>
  <si>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</si>
  <si>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</si>
  <si>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</si>
  <si>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</si>
  <si>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</si>
  <si>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</si>
  <si>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</si>
  <si>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</si>
  <si>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</si>
  <si>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</si>
  <si>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</si>
  <si>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</si>
  <si>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</si>
  <si>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</si>
  <si>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</si>
  <si>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</si>
  <si>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</si>
  <si>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</si>
  <si>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</si>
  <si>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</si>
  <si>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</si>
  <si>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</si>
  <si>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</si>
  <si>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</si>
  <si>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</si>
  <si>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</si>
  <si>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</si>
  <si>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</si>
  <si>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</si>
  <si>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</si>
  <si>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</si>
  <si>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</si>
  <si>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</si>
  <si>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</si>
  <si>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</si>
  <si>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</si>
  <si>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</si>
  <si>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</si>
  <si>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</si>
  <si>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</si>
  <si>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</si>
  <si>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</si>
  <si>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</si>
  <si>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</si>
  <si>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</si>
  <si>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</si>
  <si>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</si>
  <si>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</si>
  <si>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</si>
  <si>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</si>
  <si>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</si>
  <si>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</si>
  <si>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</si>
  <si>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</si>
  <si>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</si>
  <si>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</si>
  <si>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</si>
  <si>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</si>
  <si>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</si>
  <si>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</si>
  <si>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</si>
  <si>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</si>
  <si>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</si>
  <si>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</si>
  <si>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</si>
  <si>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</si>
  <si>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</si>
  <si>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</si>
  <si>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</si>
  <si>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</si>
  <si>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</si>
  <si>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</si>
  <si>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</si>
  <si>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</si>
  <si>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</si>
  <si>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</si>
  <si>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</si>
  <si>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</si>
  <si>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</si>
  <si>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</si>
  <si>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</si>
  <si>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</si>
  <si>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</si>
  <si>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</si>
  <si>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</si>
  <si>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</si>
  <si>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</si>
  <si>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</si>
  <si>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</si>
  <si>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</si>
  <si>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</si>
  <si>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</si>
  <si>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</si>
  <si>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</si>
  <si>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</si>
  <si>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</si>
  <si>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</si>
  <si>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</si>
  <si>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</si>
  <si>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</si>
  <si>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</si>
  <si>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</si>
  <si>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</si>
  <si>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</si>
  <si>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</si>
  <si>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</si>
  <si>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</si>
  <si>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</si>
  <si>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</si>
  <si>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</si>
  <si>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</si>
  <si>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</si>
  <si>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</si>
  <si>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</si>
  <si>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</si>
  <si>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</si>
  <si>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</si>
  <si>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</si>
  <si>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</si>
  <si>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</si>
  <si>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</si>
  <si>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</si>
  <si>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</si>
  <si>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</si>
  <si>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</si>
  <si>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</si>
  <si>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</si>
  <si>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</si>
  <si>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</si>
  <si>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</si>
  <si>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</si>
  <si>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</si>
  <si>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</si>
  <si>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</si>
  <si>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</si>
  <si>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</si>
  <si>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</si>
  <si>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</si>
  <si>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</si>
  <si>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</si>
  <si>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</si>
  <si>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</si>
  <si>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</si>
  <si>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</si>
  <si>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</si>
  <si>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</si>
  <si>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</si>
  <si>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</si>
  <si>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</si>
  <si>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</si>
  <si>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</si>
  <si>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</si>
  <si>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</si>
  <si>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</si>
  <si>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</si>
  <si>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</si>
  <si>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</si>
  <si>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</si>
  <si>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</si>
  <si>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</si>
  <si>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</si>
  <si>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</si>
  <si>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</si>
  <si>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</si>
  <si>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</si>
  <si>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</si>
  <si>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</si>
  <si>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</si>
  <si>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</si>
  <si>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</si>
  <si>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</si>
  <si>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</si>
  <si>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</si>
  <si>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</si>
  <si>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</si>
  <si>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</si>
  <si>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</si>
  <si>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</si>
  <si>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</si>
  <si>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</si>
  <si>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</si>
  <si>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</si>
  <si>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</si>
  <si>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</si>
  <si>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</si>
  <si>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</si>
  <si>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</si>
  <si>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</si>
  <si>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</si>
  <si>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</si>
  <si>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</si>
  <si>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</si>
  <si>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</si>
  <si>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</si>
  <si>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</si>
  <si>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</si>
  <si>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</si>
  <si>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</si>
  <si>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</si>
  <si>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</si>
  <si>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</si>
  <si>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</si>
  <si>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</si>
  <si>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</si>
  <si>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</si>
  <si>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</si>
  <si>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</si>
  <si>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</si>
  <si>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</si>
  <si>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</si>
  <si>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</si>
  <si>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</si>
  <si>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</si>
  <si>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</si>
  <si>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</si>
  <si>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</si>
  <si>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</si>
  <si>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</si>
  <si>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</si>
  <si>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</si>
  <si>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</si>
  <si>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</si>
  <si>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</si>
  <si>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</si>
  <si>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</si>
  <si>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</si>
  <si>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</si>
  <si>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</si>
  <si>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</si>
  <si>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</si>
  <si>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</si>
  <si>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</si>
  <si>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</si>
  <si>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</si>
  <si>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</si>
  <si>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</si>
  <si>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</si>
  <si>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</si>
  <si>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</si>
  <si>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</si>
  <si>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</si>
  <si>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</si>
  <si>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</si>
  <si>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</si>
  <si>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</si>
  <si>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</si>
  <si>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</si>
  <si>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</si>
  <si>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</si>
  <si>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</si>
  <si>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</si>
  <si>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</si>
  <si>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</si>
  <si>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</si>
  <si>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</si>
  <si>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</si>
  <si>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</si>
  <si>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</si>
  <si>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</si>
  <si>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</si>
  <si>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</si>
  <si>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</si>
  <si>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</si>
  <si>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</si>
  <si>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</si>
  <si>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</si>
  <si>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</si>
  <si>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</si>
  <si>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</si>
  <si>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</si>
  <si>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</si>
  <si>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</si>
  <si>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</si>
  <si>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</si>
  <si>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</si>
  <si>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</si>
  <si>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</si>
  <si>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</si>
  <si>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</si>
  <si>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</si>
  <si>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</si>
  <si>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</si>
  <si>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</si>
  <si>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</si>
  <si>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</si>
  <si>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</si>
  <si>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</si>
  <si>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</si>
  <si>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</si>
  <si>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</si>
  <si>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</si>
  <si>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</si>
  <si>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</si>
  <si>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</si>
  <si>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</si>
  <si>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</si>
  <si>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</si>
  <si>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</si>
  <si>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</si>
  <si>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</si>
  <si>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</si>
  <si>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</si>
  <si>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</si>
  <si>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</si>
  <si>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</si>
  <si>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</si>
  <si>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</si>
  <si>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</si>
  <si>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</si>
  <si>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</si>
  <si>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</si>
  <si>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</si>
  <si>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</si>
  <si>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</si>
  <si>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</si>
  <si>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</si>
  <si>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</si>
  <si>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</si>
  <si>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</si>
  <si>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</si>
  <si>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</si>
  <si>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</si>
  <si>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</si>
  <si>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</si>
  <si>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</si>
  <si>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</si>
  <si>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</si>
  <si>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</si>
  <si>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</si>
  <si>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</si>
  <si>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</si>
  <si>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</si>
  <si>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</si>
  <si>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</si>
  <si>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</si>
  <si>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</si>
  <si>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</si>
  <si>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</si>
  <si>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</si>
  <si>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</si>
  <si>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</si>
  <si>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</si>
  <si>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</si>
  <si>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</si>
  <si>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</si>
  <si>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</si>
  <si>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</si>
  <si>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</si>
  <si>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</si>
  <si>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</si>
  <si>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</si>
  <si>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</si>
  <si>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</si>
  <si>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</si>
  <si>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</si>
  <si>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</si>
  <si>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</si>
  <si>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</si>
  <si>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</si>
  <si>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</si>
  <si>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</si>
  <si>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</si>
  <si>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</si>
  <si>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</si>
  <si>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</si>
  <si>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</si>
  <si>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</si>
  <si>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</si>
  <si>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</si>
  <si>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</si>
  <si>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</si>
  <si>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</si>
  <si>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</si>
  <si>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</si>
  <si>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</si>
  <si>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</si>
  <si>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</si>
  <si>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</si>
  <si>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</si>
  <si>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</si>
  <si>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</si>
  <si>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</si>
  <si>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</si>
  <si>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</si>
  <si>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</si>
  <si>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</si>
  <si>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</si>
  <si>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</si>
  <si>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</si>
  <si>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</si>
  <si>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</si>
  <si>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</si>
  <si>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</si>
  <si>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</si>
  <si>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</si>
  <si>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</si>
  <si>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</si>
  <si>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</si>
  <si>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</si>
  <si>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</si>
  <si>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</si>
  <si>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</si>
  <si>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</si>
  <si>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</si>
  <si>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</si>
  <si>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</si>
  <si>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</si>
  <si>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</si>
  <si>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</si>
  <si>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</si>
  <si>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</si>
  <si>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</si>
  <si>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</si>
  <si>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</si>
  <si>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</si>
  <si>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</si>
  <si>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</si>
  <si>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</si>
  <si>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</si>
  <si>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</si>
  <si>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</si>
  <si>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</si>
  <si>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</si>
  <si>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</si>
  <si>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</si>
  <si>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</si>
  <si>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</si>
  <si>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</si>
  <si>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</si>
  <si>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</si>
  <si>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</si>
  <si>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</si>
  <si>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</si>
  <si>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</si>
  <si>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</si>
  <si>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</si>
  <si>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</si>
  <si>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</si>
  <si>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</si>
  <si>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</si>
  <si>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</si>
  <si>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</si>
  <si>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</si>
  <si>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</si>
  <si>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</si>
  <si>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</si>
  <si>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</si>
  <si>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</si>
  <si>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</si>
  <si>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</si>
  <si>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</si>
  <si>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</si>
  <si>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</si>
  <si>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</si>
  <si>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</si>
  <si>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</si>
  <si>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</si>
  <si>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</si>
  <si>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</si>
  <si>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</si>
  <si>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</si>
  <si>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</si>
  <si>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</si>
  <si>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</si>
  <si>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</si>
  <si>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</si>
  <si>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</si>
  <si>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</si>
  <si>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</si>
  <si>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</si>
  <si>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</si>
  <si>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</si>
  <si>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</si>
  <si>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</si>
  <si>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</si>
  <si>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</si>
  <si>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</si>
  <si>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</si>
  <si>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</si>
  <si>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</si>
  <si>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</si>
  <si>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</si>
  <si>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</si>
  <si>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</si>
  <si>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</si>
  <si>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</si>
  <si>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</si>
  <si>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</si>
  <si>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</si>
  <si>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</si>
  <si>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</si>
  <si>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</si>
  <si>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</si>
  <si>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</si>
  <si>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</si>
  <si>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</si>
  <si>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</si>
  <si>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</si>
  <si>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</si>
  <si>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</si>
  <si>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</si>
  <si>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</si>
  <si>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</si>
  <si>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</si>
  <si>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</si>
  <si>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</si>
  <si>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</si>
  <si>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</si>
  <si>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</si>
  <si>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</si>
  <si>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</si>
  <si>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</si>
  <si>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</si>
  <si>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</si>
  <si>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</si>
  <si>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</si>
  <si>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</si>
  <si>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</si>
  <si>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</si>
  <si>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</si>
  <si>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</si>
  <si>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</si>
  <si>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</si>
  <si>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</si>
  <si>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</si>
  <si>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</si>
  <si>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</si>
  <si>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</si>
  <si>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</si>
  <si>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</si>
  <si>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</si>
  <si>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</si>
  <si>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</si>
  <si>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</si>
  <si>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</si>
  <si>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</si>
  <si>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</si>
  <si>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</si>
  <si>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</si>
  <si>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</si>
  <si>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</si>
  <si>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</si>
  <si>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</si>
  <si>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</si>
  <si>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</si>
  <si>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</si>
  <si>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</si>
  <si>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</si>
  <si>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</si>
  <si>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</si>
  <si>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</si>
  <si>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</si>
  <si>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</si>
  <si>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</si>
  <si>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</si>
  <si>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</si>
  <si>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</si>
  <si>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</si>
  <si>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</si>
  <si>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</si>
  <si>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</si>
  <si>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</si>
  <si>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</si>
  <si>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</si>
  <si>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</si>
  <si>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</si>
  <si>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</si>
  <si>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</si>
  <si>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</si>
  <si>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</si>
  <si>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</si>
  <si>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</si>
  <si>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</si>
  <si>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</si>
  <si>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</si>
  <si>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</si>
  <si>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</si>
  <si>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</si>
  <si>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</si>
  <si>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</si>
  <si>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</si>
  <si>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</si>
  <si>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</si>
  <si>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</si>
  <si>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</si>
  <si>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</si>
  <si>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</si>
  <si>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</si>
  <si>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</si>
  <si>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</si>
  <si>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</si>
  <si>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</si>
  <si>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</si>
  <si>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</si>
  <si>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</si>
  <si>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</si>
  <si>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</si>
  <si>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</si>
  <si>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</si>
  <si>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</si>
  <si>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</si>
  <si>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</si>
  <si>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</si>
  <si>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</si>
  <si>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</si>
  <si>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</si>
  <si>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</si>
  <si>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</si>
  <si>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</si>
  <si>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</si>
  <si>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</si>
  <si>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</si>
  <si>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</si>
  <si>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</si>
  <si>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</si>
  <si>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</si>
  <si>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</si>
  <si>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</si>
  <si>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</si>
  <si>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</si>
  <si>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</si>
  <si>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</si>
  <si>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</si>
  <si>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</si>
  <si>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</si>
  <si>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</si>
  <si>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</si>
  <si>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</si>
  <si>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</si>
  <si>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</si>
  <si>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</si>
  <si>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</si>
  <si>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</si>
  <si>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</si>
  <si>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</si>
  <si>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</si>
  <si>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</si>
  <si>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</si>
  <si>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</si>
  <si>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</si>
  <si>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</si>
  <si>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</si>
  <si>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</si>
  <si>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</si>
  <si>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</si>
  <si>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</si>
  <si>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</si>
  <si>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</si>
  <si>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</si>
  <si>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</si>
  <si>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</si>
  <si>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</si>
  <si>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</si>
  <si>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</si>
  <si>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</si>
  <si>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</si>
  <si>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</si>
  <si>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</si>
  <si>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</si>
  <si>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</si>
  <si>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</si>
  <si>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</si>
  <si>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</si>
  <si>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</si>
  <si>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</si>
  <si>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</si>
  <si>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</si>
  <si>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</si>
  <si>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</si>
  <si>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</si>
  <si>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</si>
  <si>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</si>
  <si>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</si>
  <si>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</si>
  <si>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</si>
  <si>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</si>
  <si>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</si>
  <si>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</si>
  <si>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</si>
  <si>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</si>
  <si>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</si>
  <si>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</si>
  <si>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</si>
  <si>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</si>
  <si>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</si>
  <si>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</si>
  <si>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</si>
  <si>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</si>
  <si>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</si>
  <si>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</si>
  <si>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</si>
  <si>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</si>
  <si>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</si>
  <si>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</si>
  <si>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</si>
  <si>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</si>
  <si>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</si>
  <si>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</si>
  <si>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</si>
  <si>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</si>
  <si>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</si>
  <si>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</si>
  <si>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</si>
  <si>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</si>
  <si>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</si>
  <si>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</si>
  <si>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</si>
  <si>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</si>
  <si>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</si>
  <si>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</si>
  <si>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</si>
  <si>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</si>
  <si>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</si>
  <si>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</si>
  <si>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</si>
  <si>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</si>
  <si>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</si>
  <si>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</si>
  <si>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</si>
  <si>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</si>
  <si>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</si>
  <si>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</si>
  <si>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</si>
  <si>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</si>
  <si>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</si>
  <si>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</si>
  <si>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</si>
  <si>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</si>
  <si>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</si>
  <si>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</si>
  <si>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</si>
  <si>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</si>
  <si>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</si>
  <si>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</si>
  <si>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</si>
  <si>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</si>
  <si>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</si>
  <si>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</si>
  <si>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</si>
  <si>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</si>
  <si>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</si>
  <si>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</si>
  <si>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</si>
  <si>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</si>
  <si>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</si>
  <si>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</si>
  <si>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</si>
  <si>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</si>
  <si>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</si>
  <si>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</si>
  <si>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</si>
  <si>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</si>
  <si>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</si>
  <si>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</si>
  <si>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</si>
  <si>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</si>
  <si>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</si>
  <si>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</si>
  <si>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</si>
  <si>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</si>
  <si>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</si>
  <si>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</si>
  <si>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</si>
  <si>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</si>
  <si>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</si>
  <si>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</si>
  <si>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</si>
  <si>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</si>
  <si>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</si>
  <si>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</si>
  <si>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</si>
  <si>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</si>
  <si>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</si>
  <si>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</si>
  <si>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</si>
  <si>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</si>
  <si>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</si>
  <si>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</si>
  <si>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</si>
  <si>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</si>
  <si>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</si>
  <si>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</si>
  <si>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</si>
  <si>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</si>
  <si>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</si>
  <si>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</si>
  <si>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</si>
  <si>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</si>
  <si>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</si>
  <si>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</si>
  <si>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</si>
  <si>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</si>
  <si>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</si>
  <si>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</si>
  <si>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</si>
  <si>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</si>
  <si>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</si>
  <si>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</si>
  <si>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</si>
  <si>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</si>
  <si>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</si>
  <si>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</si>
  <si>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</si>
  <si>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</si>
  <si>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</si>
  <si>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</si>
  <si>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</si>
  <si>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</si>
  <si>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07/95</t>
  </si>
  <si>
    <t>08/15</t>
  </si>
  <si>
    <t>6/10</t>
  </si>
  <si>
    <t>9/26</t>
  </si>
  <si>
    <t>QSCB</t>
  </si>
  <si>
    <t>10/26</t>
  </si>
  <si>
    <t>inventory</t>
  </si>
  <si>
    <t>Salem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</si>
</sst>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\\sau57fps\DOE-25\FY2011-2012\Final\TOT08.xlsx" TargetMode="External"/><Relationship Id="rId13" Type="http://schemas.openxmlformats.org/officeDocument/2006/relationships/externalLinkPath" Target="file:///\\sau57fps\DOE-25\FY2011-2012\Final\TOT13.xlsx" TargetMode="External"/><Relationship Id="rId18" Type="http://schemas.openxmlformats.org/officeDocument/2006/relationships/externalLinkPath" Target="file:///\\sau57fps\DOE-25\FY2011-2012\Final\TOT18.xlsx" TargetMode="External"/><Relationship Id="rId3" Type="http://schemas.openxmlformats.org/officeDocument/2006/relationships/externalLinkPath" Target="file:///\\sau57fps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\\sau57fps\DOE-25\FY2011-2012\Final\TOT07.xlsx" TargetMode="External"/><Relationship Id="rId12" Type="http://schemas.openxmlformats.org/officeDocument/2006/relationships/externalLinkPath" Target="file:///\\sau57fps\DOE-25\FY2011-2012\Final\TOT12.xlsx" TargetMode="External"/><Relationship Id="rId17" Type="http://schemas.openxmlformats.org/officeDocument/2006/relationships/externalLinkPath" Target="file:///\\sau57fps\DOE-25\FY2011-2012\Final\TOT17.xlsx" TargetMode="External"/><Relationship Id="rId2" Type="http://schemas.openxmlformats.org/officeDocument/2006/relationships/externalLinkPath" Target="file:///\\sau57fps\DOE-25\FY2011-2012\Final\TOT02.xlsx" TargetMode="External"/><Relationship Id="rId16" Type="http://schemas.openxmlformats.org/officeDocument/2006/relationships/externalLinkPath" Target="file:///\\sau57fps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\\sau57fps\DOE-25\FY2011-2012\Final\TOT01.xlsx" TargetMode="External"/><Relationship Id="rId6" Type="http://schemas.openxmlformats.org/officeDocument/2006/relationships/externalLinkPath" Target="file:///\\sau57fps\DOE-25\FY2011-2012\Final\TOT06.xlsx" TargetMode="External"/><Relationship Id="rId11" Type="http://schemas.openxmlformats.org/officeDocument/2006/relationships/externalLinkPath" Target="file:///\\sau57fps\DOE-25\FY2011-2012\Final\TOT11.xlsx" TargetMode="External"/><Relationship Id="rId5" Type="http://schemas.openxmlformats.org/officeDocument/2006/relationships/externalLinkPath" Target="file:///\\sau57fps\DOE-25\FY2011-2012\Final\TOT05.xlsx" TargetMode="External"/><Relationship Id="rId15" Type="http://schemas.openxmlformats.org/officeDocument/2006/relationships/externalLinkPath" Target="file:///\\sau57fps\DOE-25\FY2011-2012\Final\TOT15.xlsx" TargetMode="External"/><Relationship Id="rId10" Type="http://schemas.openxmlformats.org/officeDocument/2006/relationships/externalLinkPath" Target="file:///\\sau57fps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\\sau57fps\DOE-25\FY2011-2012\Final\TOT04.xlsx" TargetMode="External"/><Relationship Id="rId9" Type="http://schemas.openxmlformats.org/officeDocument/2006/relationships/externalLinkPath" Target="file:///\\sau57fps\DOE-25\FY2011-2012\Final\TOT09.xlsx" TargetMode="External"/><Relationship Id="rId14" Type="http://schemas.openxmlformats.org/officeDocument/2006/relationships/externalLinkPath" Target="file:///\\sau57fps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zoomScaleNormal="75" workbookViewId="0">
      <pane xSplit="5" ySplit="3" topLeftCell="F623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916</v>
      </c>
      <c r="B2" s="21">
        <v>473</v>
      </c>
      <c r="C2" s="21">
        <v>473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2929762.67</v>
      </c>
      <c r="G9" s="18">
        <v>38929.89</v>
      </c>
      <c r="H9" s="18"/>
      <c r="I9" s="18">
        <v>47063.72</v>
      </c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134031.1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>
        <v>212985.35</v>
      </c>
      <c r="H12" s="18">
        <v>140123.62</v>
      </c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f>5917.99+4103.64+15453.37+635.46+21991.06+2045.68+16876.86+13325.65+50000</f>
        <v>130349.70999999999</v>
      </c>
      <c r="G13" s="18">
        <v>85792.68</v>
      </c>
      <c r="H13" s="18">
        <f>219217.14+61739.73</f>
        <v>280956.87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280+150+1246+55+450+2822.46</f>
        <v>5003.46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3065115.84</v>
      </c>
      <c r="G19" s="41">
        <f>SUM(G9:G18)</f>
        <v>337707.92</v>
      </c>
      <c r="H19" s="41">
        <f>SUM(H9:H18)</f>
        <v>421080.49</v>
      </c>
      <c r="I19" s="41">
        <f>SUM(I9:I18)</f>
        <v>47063.72</v>
      </c>
      <c r="J19" s="41">
        <f>SUM(J9:J18)</f>
        <v>134031.1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f>263619.83-68593.05</f>
        <v>195026.78000000003</v>
      </c>
      <c r="G22" s="18"/>
      <c r="H22" s="18">
        <v>158082.19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505868.99</v>
      </c>
      <c r="G24" s="18">
        <v>10212.98</v>
      </c>
      <c r="H24" s="18">
        <v>9436.6299999999992</v>
      </c>
      <c r="I24" s="18">
        <v>5577.75</v>
      </c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104433</v>
      </c>
      <c r="G29" s="18">
        <v>1015.39</v>
      </c>
      <c r="H29" s="18">
        <v>52796.13</v>
      </c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805328.77</v>
      </c>
      <c r="G32" s="41">
        <f>SUM(G22:G31)</f>
        <v>11228.369999999999</v>
      </c>
      <c r="H32" s="41">
        <f>SUM(H22:H31)</f>
        <v>220314.95</v>
      </c>
      <c r="I32" s="41">
        <f>SUM(I22:I31)</f>
        <v>5577.75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f>G16</f>
        <v>0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120000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>
        <v>93640.6</v>
      </c>
      <c r="G47" s="18">
        <f>337707.92-G32</f>
        <v>326479.55</v>
      </c>
      <c r="H47" s="18">
        <f>61132.95-493.03+2+140123.62</f>
        <v>200765.53999999998</v>
      </c>
      <c r="I47" s="18">
        <f>47063.72-5577.75</f>
        <v>41485.97</v>
      </c>
      <c r="J47" s="13">
        <f>SUM(I458)</f>
        <v>134031.1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454248.14</v>
      </c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2139787.07-454248.14-93640.6</f>
        <v>1591898.3299999996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2259787.0699999994</v>
      </c>
      <c r="G50" s="41">
        <f>SUM(G35:G49)</f>
        <v>326479.55</v>
      </c>
      <c r="H50" s="41">
        <f>SUM(H35:H49)</f>
        <v>200765.53999999998</v>
      </c>
      <c r="I50" s="41">
        <f>SUM(I35:I49)</f>
        <v>41485.97</v>
      </c>
      <c r="J50" s="41">
        <f>SUM(J35:J49)</f>
        <v>134031.1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3065115.8399999994</v>
      </c>
      <c r="G51" s="41">
        <f>G50+G32</f>
        <v>337707.92</v>
      </c>
      <c r="H51" s="41">
        <f>H50+H32</f>
        <v>421080.49</v>
      </c>
      <c r="I51" s="41">
        <f>I50+I32</f>
        <v>47063.72</v>
      </c>
      <c r="J51" s="41">
        <f>J50+J32</f>
        <v>134031.1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f>47559643-9093680</f>
        <v>38465963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38465963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173788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21212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>
        <v>100000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>
        <v>67000</v>
      </c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35443.800000000003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54730.46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v>84384.31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>
        <v>42000</v>
      </c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578558.57000000007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/>
      <c r="G95" s="18"/>
      <c r="H95" s="18"/>
      <c r="I95" s="18"/>
      <c r="J95" s="18">
        <v>105.66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1180721.07-1819.95</f>
        <v>1178901.1200000001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12423.57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f>13900+25094.55-5741.25</f>
        <v>33253.300000000003</v>
      </c>
      <c r="I101" s="18"/>
      <c r="J101" s="18">
        <v>10375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94332.56+4690.77+2545.7+50000</f>
        <v>151569.03</v>
      </c>
      <c r="G109" s="18"/>
      <c r="H109" s="18"/>
      <c r="I109" s="18"/>
      <c r="J109" s="18">
        <v>283650</v>
      </c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163992.6</v>
      </c>
      <c r="G110" s="41">
        <f>SUM(G95:G109)</f>
        <v>1178901.1200000001</v>
      </c>
      <c r="H110" s="41">
        <f>SUM(H95:H109)</f>
        <v>33253.300000000003</v>
      </c>
      <c r="I110" s="41">
        <f>SUM(I95:I109)</f>
        <v>0</v>
      </c>
      <c r="J110" s="41">
        <f>SUM(J95:J109)</f>
        <v>294130.65999999997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39208514.170000002</v>
      </c>
      <c r="G111" s="41">
        <f>G59+G110</f>
        <v>1178901.1200000001</v>
      </c>
      <c r="H111" s="41">
        <f>H59+H78+H93+H110</f>
        <v>33253.300000000003</v>
      </c>
      <c r="I111" s="41">
        <f>I59+I110</f>
        <v>0</v>
      </c>
      <c r="J111" s="41">
        <f>J59+J110</f>
        <v>294130.65999999997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5317323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9093680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14411003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521714.1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>
        <f>419060.12-367425</f>
        <v>51635.119999999995</v>
      </c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>
        <v>367425</v>
      </c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1043267.8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f>176757.61-5292.61</f>
        <v>171465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5292.61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/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2160799.63</v>
      </c>
      <c r="G135" s="41">
        <f>SUM(G122:G134)</f>
        <v>0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16571802.629999999</v>
      </c>
      <c r="G139" s="41">
        <f>G120+SUM(G135:G136)</f>
        <v>0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>
        <v>59399.11</v>
      </c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584085.67+15717.46</f>
        <v>599803.13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75044.01+10190</f>
        <v>85234.01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v>147179.82999999999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>
        <f>118819.33+50629.98</f>
        <v>169449.31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460249.66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f>957691.43+968.57+4105.27+3583.97+3200</f>
        <v>969549.24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f>502761.98-23.58</f>
        <v>502738.39999999997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562137.51</v>
      </c>
      <c r="G161" s="41">
        <f>SUM(G149:G160)</f>
        <v>460249.66</v>
      </c>
      <c r="H161" s="41">
        <f>SUM(H149:H160)</f>
        <v>1971215.52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>
        <v>76005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562137.51</v>
      </c>
      <c r="G168" s="41">
        <f>G146+G161+SUM(G162:G167)</f>
        <v>460249.66</v>
      </c>
      <c r="H168" s="41">
        <f>H146+H161+SUM(H162:H167)</f>
        <v>2047220.52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/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>
        <f>2752.91-730</f>
        <v>2022.9099999999999</v>
      </c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2022.9099999999999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>
        <v>283650</v>
      </c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283650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>
        <v>5741.25</v>
      </c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285672.90999999997</v>
      </c>
      <c r="G191" s="41">
        <f>G182+SUM(G187:G190)</f>
        <v>0</v>
      </c>
      <c r="H191" s="41">
        <f>+H182+SUM(H187:H190)</f>
        <v>5741.25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56628127.219999991</v>
      </c>
      <c r="G192" s="47">
        <f>G111+G139+G168+G191</f>
        <v>1639150.78</v>
      </c>
      <c r="H192" s="47">
        <f>H111+H139+H168+H191</f>
        <v>2086215.07</v>
      </c>
      <c r="I192" s="47">
        <f>I111+I139+I168+I191</f>
        <v>0</v>
      </c>
      <c r="J192" s="47">
        <f>J111+J139+J191</f>
        <v>294130.65999999997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6590571.0099999998</v>
      </c>
      <c r="G196" s="18">
        <v>2802870.34</v>
      </c>
      <c r="H196" s="18">
        <v>617.04999999999995</v>
      </c>
      <c r="I196" s="18">
        <v>249125.47</v>
      </c>
      <c r="J196" s="18">
        <v>42927.05</v>
      </c>
      <c r="K196" s="18">
        <v>142.19999999999999</v>
      </c>
      <c r="L196" s="19">
        <f>SUM(F196:K196)</f>
        <v>9686253.120000001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2469762.1800000002</v>
      </c>
      <c r="G197" s="18">
        <v>628306.84</v>
      </c>
      <c r="H197" s="18">
        <v>553722.57999999996</v>
      </c>
      <c r="I197" s="18">
        <v>10021.620000000001</v>
      </c>
      <c r="J197" s="18">
        <v>2581.81</v>
      </c>
      <c r="K197" s="18">
        <v>352.95</v>
      </c>
      <c r="L197" s="19">
        <f>SUM(F197:K197)</f>
        <v>3664747.9800000004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10198.5</v>
      </c>
      <c r="G199" s="18">
        <v>2410.08</v>
      </c>
      <c r="H199" s="18"/>
      <c r="I199" s="18"/>
      <c r="J199" s="18"/>
      <c r="K199" s="18"/>
      <c r="L199" s="19">
        <f>SUM(F199:K199)</f>
        <v>12608.58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1340056.6599999999</v>
      </c>
      <c r="G201" s="18">
        <v>643720.68999999994</v>
      </c>
      <c r="H201" s="18">
        <v>295970.40000000002</v>
      </c>
      <c r="I201" s="18">
        <v>19601.259999999998</v>
      </c>
      <c r="J201" s="18"/>
      <c r="K201" s="18"/>
      <c r="L201" s="19">
        <f t="shared" ref="L201:L207" si="0">SUM(F201:K201)</f>
        <v>2299349.0099999998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421685.18</v>
      </c>
      <c r="G202" s="18">
        <v>135546.4</v>
      </c>
      <c r="H202" s="18">
        <v>50546.93</v>
      </c>
      <c r="I202" s="18">
        <v>76574.460000000006</v>
      </c>
      <c r="J202" s="18">
        <v>93516.08</v>
      </c>
      <c r="K202" s="18"/>
      <c r="L202" s="19">
        <f t="shared" si="0"/>
        <v>777869.04999999993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4596.23+194158.33</f>
        <v>198754.56</v>
      </c>
      <c r="G203" s="18">
        <f>88158.85+13.8+582.77</f>
        <v>88755.420000000013</v>
      </c>
      <c r="H203" s="18">
        <v>33887.14</v>
      </c>
      <c r="I203" s="18">
        <v>4436.13</v>
      </c>
      <c r="J203" s="18"/>
      <c r="K203" s="18">
        <v>4493.3900000000003</v>
      </c>
      <c r="L203" s="19">
        <f t="shared" si="0"/>
        <v>330326.64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694073.37</v>
      </c>
      <c r="G204" s="18">
        <v>315485.53000000003</v>
      </c>
      <c r="H204" s="18">
        <v>89617.22</v>
      </c>
      <c r="I204" s="18">
        <v>10649.96</v>
      </c>
      <c r="J204" s="18"/>
      <c r="K204" s="18">
        <v>2814.95</v>
      </c>
      <c r="L204" s="19">
        <f t="shared" si="0"/>
        <v>1112641.03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108744.17</v>
      </c>
      <c r="G205" s="18">
        <v>54318.42</v>
      </c>
      <c r="H205" s="18">
        <v>9449.9</v>
      </c>
      <c r="I205" s="18"/>
      <c r="J205" s="18"/>
      <c r="K205" s="18"/>
      <c r="L205" s="19">
        <f t="shared" si="0"/>
        <v>172512.49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514020.77</v>
      </c>
      <c r="G206" s="18">
        <v>210915.77</v>
      </c>
      <c r="H206" s="18">
        <v>383985.02</v>
      </c>
      <c r="I206" s="18">
        <v>412313.65</v>
      </c>
      <c r="J206" s="18">
        <v>12189.08</v>
      </c>
      <c r="K206" s="18"/>
      <c r="L206" s="19">
        <f t="shared" si="0"/>
        <v>1533424.29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926791.38</v>
      </c>
      <c r="I207" s="18"/>
      <c r="J207" s="18"/>
      <c r="K207" s="18"/>
      <c r="L207" s="19">
        <f t="shared" si="0"/>
        <v>926791.38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15461.96</v>
      </c>
      <c r="G208" s="18">
        <v>3013.14</v>
      </c>
      <c r="H208" s="18">
        <v>195636.83</v>
      </c>
      <c r="I208" s="18">
        <v>4663.1899999999996</v>
      </c>
      <c r="J208" s="18"/>
      <c r="K208" s="18"/>
      <c r="L208" s="19">
        <f>SUM(F208:K208)</f>
        <v>218775.12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12363328.359999999</v>
      </c>
      <c r="G210" s="41">
        <f t="shared" si="1"/>
        <v>4885342.629999999</v>
      </c>
      <c r="H210" s="41">
        <f t="shared" si="1"/>
        <v>2540224.4500000002</v>
      </c>
      <c r="I210" s="41">
        <f t="shared" si="1"/>
        <v>787385.74</v>
      </c>
      <c r="J210" s="41">
        <f t="shared" si="1"/>
        <v>151214.01999999999</v>
      </c>
      <c r="K210" s="41">
        <f t="shared" si="1"/>
        <v>7803.49</v>
      </c>
      <c r="L210" s="41">
        <f t="shared" si="1"/>
        <v>20735298.690000001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3639840.09</v>
      </c>
      <c r="G214" s="18">
        <v>1738166.36</v>
      </c>
      <c r="H214" s="18">
        <v>1234.3399999999999</v>
      </c>
      <c r="I214" s="18">
        <v>101281.94</v>
      </c>
      <c r="J214" s="18">
        <v>6215.42</v>
      </c>
      <c r="K214" s="18"/>
      <c r="L214" s="19">
        <f>SUM(F214:K214)</f>
        <v>5486738.1500000004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1084677.8799999999</v>
      </c>
      <c r="G215" s="18">
        <v>344251.51</v>
      </c>
      <c r="H215" s="18">
        <v>535295.6</v>
      </c>
      <c r="I215" s="18">
        <v>6162.67</v>
      </c>
      <c r="J215" s="18">
        <v>1635.14</v>
      </c>
      <c r="K215" s="18">
        <v>223.54</v>
      </c>
      <c r="L215" s="19">
        <f>SUM(F215:K215)</f>
        <v>1972246.3399999996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55575.05</v>
      </c>
      <c r="G217" s="18">
        <v>16991.580000000002</v>
      </c>
      <c r="H217" s="18">
        <v>7306</v>
      </c>
      <c r="I217" s="18">
        <v>6199.94</v>
      </c>
      <c r="J217" s="18"/>
      <c r="K217" s="18">
        <v>1020</v>
      </c>
      <c r="L217" s="19">
        <f>SUM(F217:K217)</f>
        <v>87092.57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411530.81</v>
      </c>
      <c r="G219" s="18">
        <v>175066.27</v>
      </c>
      <c r="H219" s="18">
        <v>77137.539999999994</v>
      </c>
      <c r="I219" s="18">
        <v>8790.2800000000007</v>
      </c>
      <c r="J219" s="18"/>
      <c r="K219" s="18"/>
      <c r="L219" s="19">
        <f t="shared" ref="L219:L225" si="2">SUM(F219:K219)</f>
        <v>672524.9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279535.34000000003</v>
      </c>
      <c r="G220" s="18">
        <v>116390.55</v>
      </c>
      <c r="H220" s="18">
        <v>32013.05</v>
      </c>
      <c r="I220" s="18">
        <v>40741.33</v>
      </c>
      <c r="J220" s="18">
        <v>59226.85</v>
      </c>
      <c r="K220" s="18"/>
      <c r="L220" s="19">
        <f t="shared" si="2"/>
        <v>527907.12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f>2910.94+122966.94</f>
        <v>125877.88</v>
      </c>
      <c r="G221" s="18">
        <f>55833.94+8.74+369.06</f>
        <v>56211.74</v>
      </c>
      <c r="H221" s="18">
        <v>21461.85</v>
      </c>
      <c r="I221" s="18">
        <v>2809.55</v>
      </c>
      <c r="J221" s="18"/>
      <c r="K221" s="18">
        <v>2845.82</v>
      </c>
      <c r="L221" s="19">
        <f t="shared" si="2"/>
        <v>209206.84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353330.69</v>
      </c>
      <c r="G222" s="18">
        <v>181336.7</v>
      </c>
      <c r="H222" s="18">
        <v>63627.75</v>
      </c>
      <c r="I222" s="18">
        <v>9485.41</v>
      </c>
      <c r="J222" s="18"/>
      <c r="K222" s="18">
        <v>374</v>
      </c>
      <c r="L222" s="19">
        <f t="shared" si="2"/>
        <v>608154.55000000005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68871.31</v>
      </c>
      <c r="G223" s="18">
        <v>34401.67</v>
      </c>
      <c r="H223" s="18">
        <v>5984.93</v>
      </c>
      <c r="I223" s="18"/>
      <c r="J223" s="18"/>
      <c r="K223" s="18"/>
      <c r="L223" s="19">
        <f t="shared" si="2"/>
        <v>109257.91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226193.32</v>
      </c>
      <c r="G224" s="18">
        <v>121747.23</v>
      </c>
      <c r="H224" s="18">
        <v>243154.89</v>
      </c>
      <c r="I224" s="18">
        <v>173123.55</v>
      </c>
      <c r="J224" s="18">
        <v>18201.87</v>
      </c>
      <c r="K224" s="18"/>
      <c r="L224" s="19">
        <f t="shared" si="2"/>
        <v>782420.86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596114.87</v>
      </c>
      <c r="I225" s="18"/>
      <c r="J225" s="18"/>
      <c r="K225" s="18"/>
      <c r="L225" s="19">
        <f t="shared" si="2"/>
        <v>596114.87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v>9792.57</v>
      </c>
      <c r="G226" s="18">
        <v>1908.32</v>
      </c>
      <c r="H226" s="18">
        <v>123903.32</v>
      </c>
      <c r="I226" s="18">
        <v>2953.35</v>
      </c>
      <c r="J226" s="18"/>
      <c r="K226" s="18"/>
      <c r="L226" s="19">
        <f>SUM(F226:K226)</f>
        <v>138557.56000000003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6255224.9399999995</v>
      </c>
      <c r="G228" s="41">
        <f>SUM(G214:G227)</f>
        <v>2786471.93</v>
      </c>
      <c r="H228" s="41">
        <f>SUM(H214:H227)</f>
        <v>1707234.1400000001</v>
      </c>
      <c r="I228" s="41">
        <f>SUM(I214:I227)</f>
        <v>351548.01999999996</v>
      </c>
      <c r="J228" s="41">
        <f>SUM(J214:J227)</f>
        <v>85279.28</v>
      </c>
      <c r="K228" s="41">
        <f t="shared" si="3"/>
        <v>4463.3600000000006</v>
      </c>
      <c r="L228" s="41">
        <f t="shared" si="3"/>
        <v>11190221.67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f>5821635.11-0.02</f>
        <v>5821635.0900000008</v>
      </c>
      <c r="G232" s="18">
        <f>2568804.08+0.02</f>
        <v>2568804.1</v>
      </c>
      <c r="H232" s="18">
        <v>34442.49</v>
      </c>
      <c r="I232" s="18">
        <v>201424.86</v>
      </c>
      <c r="J232" s="18">
        <v>66737.509999999995</v>
      </c>
      <c r="K232" s="18">
        <v>75</v>
      </c>
      <c r="L232" s="19">
        <f>SUM(F232:K232)</f>
        <v>8693119.0500000007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1368465.61</v>
      </c>
      <c r="G233" s="18">
        <v>477996.26</v>
      </c>
      <c r="H233" s="18">
        <v>1772628.39</v>
      </c>
      <c r="I233" s="18">
        <v>2962.07</v>
      </c>
      <c r="J233" s="18">
        <v>2403.0700000000002</v>
      </c>
      <c r="K233" s="18">
        <v>328.52</v>
      </c>
      <c r="L233" s="19">
        <f>SUM(F233:K233)</f>
        <v>3624783.9199999995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1042524.25</v>
      </c>
      <c r="G234" s="18">
        <v>436902.21</v>
      </c>
      <c r="H234" s="18">
        <v>18520.669999999998</v>
      </c>
      <c r="I234" s="18">
        <v>79327.42</v>
      </c>
      <c r="J234" s="18">
        <v>6183</v>
      </c>
      <c r="K234" s="18">
        <v>80</v>
      </c>
      <c r="L234" s="19">
        <f>SUM(F234:K234)</f>
        <v>1583537.5499999998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445927.35</v>
      </c>
      <c r="G235" s="18">
        <v>112874.75</v>
      </c>
      <c r="H235" s="18">
        <v>130849.18</v>
      </c>
      <c r="I235" s="18">
        <v>60721.79</v>
      </c>
      <c r="J235" s="18"/>
      <c r="K235" s="18">
        <v>19315.939999999999</v>
      </c>
      <c r="L235" s="19">
        <f>SUM(F235:K235)</f>
        <v>769689.01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742799.42</v>
      </c>
      <c r="G237" s="18">
        <v>313045.86</v>
      </c>
      <c r="H237" s="18">
        <v>115937.1</v>
      </c>
      <c r="I237" s="18">
        <v>20655.57</v>
      </c>
      <c r="J237" s="18"/>
      <c r="K237" s="18">
        <v>685</v>
      </c>
      <c r="L237" s="19">
        <f t="shared" ref="L237:L243" si="4">SUM(F237:K237)</f>
        <v>1193122.9500000002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327725.82</v>
      </c>
      <c r="G238" s="18">
        <v>109499.91</v>
      </c>
      <c r="H238" s="18">
        <v>47586.02</v>
      </c>
      <c r="I238" s="18">
        <v>79564.86</v>
      </c>
      <c r="J238" s="18">
        <f>88292.57-0.01</f>
        <v>88292.560000000012</v>
      </c>
      <c r="K238" s="18">
        <v>124</v>
      </c>
      <c r="L238" s="19">
        <f t="shared" si="4"/>
        <v>652793.17000000004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f>4278.03+180716.6</f>
        <v>184994.63</v>
      </c>
      <c r="G239" s="18">
        <f>82055.54+12.84+542.43</f>
        <v>82610.809999999983</v>
      </c>
      <c r="H239" s="18">
        <v>31541.11</v>
      </c>
      <c r="I239" s="18">
        <v>4129.01</v>
      </c>
      <c r="J239" s="18"/>
      <c r="K239" s="18">
        <f>4182.31-0.01</f>
        <v>4182.3</v>
      </c>
      <c r="L239" s="19">
        <f t="shared" si="4"/>
        <v>307457.86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601482.31999999995</v>
      </c>
      <c r="G240" s="18">
        <v>293713.73</v>
      </c>
      <c r="H240" s="18">
        <v>108995.12</v>
      </c>
      <c r="I240" s="18">
        <v>19427.38</v>
      </c>
      <c r="J240" s="18">
        <v>1500</v>
      </c>
      <c r="K240" s="18">
        <v>4880</v>
      </c>
      <c r="L240" s="19">
        <f t="shared" si="4"/>
        <v>1029998.5499999999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101215.73</v>
      </c>
      <c r="G241" s="18">
        <v>50557.919999999998</v>
      </c>
      <c r="H241" s="18">
        <v>8795.67</v>
      </c>
      <c r="I241" s="18"/>
      <c r="J241" s="18"/>
      <c r="K241" s="18"/>
      <c r="L241" s="19">
        <f t="shared" si="4"/>
        <v>160569.32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605075.71</v>
      </c>
      <c r="G242" s="18">
        <v>274749.06</v>
      </c>
      <c r="H242" s="18">
        <v>359760.93</v>
      </c>
      <c r="I242" s="18">
        <v>422290.82</v>
      </c>
      <c r="J242" s="18">
        <v>34749.22</v>
      </c>
      <c r="K242" s="18"/>
      <c r="L242" s="19">
        <f t="shared" si="4"/>
        <v>1696625.74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f>944747.05-0.01</f>
        <v>944747.04</v>
      </c>
      <c r="I243" s="18"/>
      <c r="J243" s="18"/>
      <c r="K243" s="18"/>
      <c r="L243" s="19">
        <f t="shared" si="4"/>
        <v>944747.04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v>14391.51</v>
      </c>
      <c r="G244" s="18">
        <v>2804.54</v>
      </c>
      <c r="H244" s="18">
        <v>182092.74</v>
      </c>
      <c r="I244" s="18">
        <v>4340.3500000000004</v>
      </c>
      <c r="J244" s="18"/>
      <c r="K244" s="18"/>
      <c r="L244" s="19">
        <f>SUM(F244:K244)</f>
        <v>203629.13999999998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11256237.440000003</v>
      </c>
      <c r="G246" s="41">
        <f t="shared" si="5"/>
        <v>4723559.1500000004</v>
      </c>
      <c r="H246" s="41">
        <f t="shared" si="5"/>
        <v>3755896.46</v>
      </c>
      <c r="I246" s="41">
        <f t="shared" si="5"/>
        <v>894844.13</v>
      </c>
      <c r="J246" s="41">
        <f t="shared" si="5"/>
        <v>199865.36000000002</v>
      </c>
      <c r="K246" s="41">
        <f t="shared" si="5"/>
        <v>29670.76</v>
      </c>
      <c r="L246" s="41">
        <f t="shared" si="5"/>
        <v>20860073.300000001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>
        <v>139115.5</v>
      </c>
      <c r="G250" s="18">
        <v>55211.19</v>
      </c>
      <c r="H250" s="18">
        <v>2151.5700000000002</v>
      </c>
      <c r="I250" s="18">
        <v>2788.19</v>
      </c>
      <c r="J250" s="18"/>
      <c r="K250" s="18"/>
      <c r="L250" s="19">
        <f t="shared" si="6"/>
        <v>199266.45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558381.5</v>
      </c>
      <c r="I254" s="18"/>
      <c r="J254" s="18"/>
      <c r="K254" s="18"/>
      <c r="L254" s="19">
        <f t="shared" si="6"/>
        <v>558381.5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139115.5</v>
      </c>
      <c r="G255" s="41">
        <f t="shared" si="7"/>
        <v>55211.19</v>
      </c>
      <c r="H255" s="41">
        <f t="shared" si="7"/>
        <v>560533.06999999995</v>
      </c>
      <c r="I255" s="41">
        <f t="shared" si="7"/>
        <v>2788.19</v>
      </c>
      <c r="J255" s="41">
        <f t="shared" si="7"/>
        <v>0</v>
      </c>
      <c r="K255" s="41">
        <f t="shared" si="7"/>
        <v>0</v>
      </c>
      <c r="L255" s="41">
        <f>SUM(F255:K255)</f>
        <v>757647.95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30013906.240000002</v>
      </c>
      <c r="G256" s="41">
        <f t="shared" si="8"/>
        <v>12450584.899999999</v>
      </c>
      <c r="H256" s="41">
        <f t="shared" si="8"/>
        <v>8563888.1199999992</v>
      </c>
      <c r="I256" s="41">
        <f t="shared" si="8"/>
        <v>2036566.08</v>
      </c>
      <c r="J256" s="41">
        <f t="shared" si="8"/>
        <v>436358.66000000003</v>
      </c>
      <c r="K256" s="41">
        <f t="shared" si="8"/>
        <v>41937.61</v>
      </c>
      <c r="L256" s="41">
        <f t="shared" si="8"/>
        <v>53543241.609999999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1635000</v>
      </c>
      <c r="L259" s="19">
        <f>SUM(F259:K259)</f>
        <v>1635000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327087.5</v>
      </c>
      <c r="L260" s="19">
        <f>SUM(F260:K260)</f>
        <v>327087.5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1962087.5</v>
      </c>
      <c r="L269" s="41">
        <f t="shared" si="9"/>
        <v>1962087.5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30013906.240000002</v>
      </c>
      <c r="G270" s="42">
        <f t="shared" si="11"/>
        <v>12450584.899999999</v>
      </c>
      <c r="H270" s="42">
        <f t="shared" si="11"/>
        <v>8563888.1199999992</v>
      </c>
      <c r="I270" s="42">
        <f t="shared" si="11"/>
        <v>2036566.08</v>
      </c>
      <c r="J270" s="42">
        <f t="shared" si="11"/>
        <v>436358.66000000003</v>
      </c>
      <c r="K270" s="42">
        <f t="shared" si="11"/>
        <v>2004025.11</v>
      </c>
      <c r="L270" s="42">
        <f t="shared" si="11"/>
        <v>55505329.109999999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7452.48</v>
      </c>
      <c r="G275" s="18">
        <v>654.85</v>
      </c>
      <c r="H275" s="18"/>
      <c r="I275" s="18">
        <v>772.63</v>
      </c>
      <c r="J275" s="18">
        <v>850.01</v>
      </c>
      <c r="K275" s="18"/>
      <c r="L275" s="19">
        <f>SUM(F275:K275)</f>
        <v>9729.9699999999993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471269.61</v>
      </c>
      <c r="G276" s="18">
        <v>74842.87</v>
      </c>
      <c r="H276" s="18">
        <v>98983.37</v>
      </c>
      <c r="I276" s="18">
        <v>1255.1099999999999</v>
      </c>
      <c r="J276" s="18"/>
      <c r="K276" s="18"/>
      <c r="L276" s="19">
        <f>SUM(F276:K276)</f>
        <v>646350.96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3116.54</v>
      </c>
      <c r="G280" s="18">
        <v>547.91999999999996</v>
      </c>
      <c r="H280" s="18">
        <v>59462.18</v>
      </c>
      <c r="I280" s="18">
        <v>2570.5100000000002</v>
      </c>
      <c r="J280" s="18"/>
      <c r="K280" s="18"/>
      <c r="L280" s="19">
        <f t="shared" ref="L280:L286" si="12">SUM(F280:K280)</f>
        <v>65697.149999999994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77089.429999999993</v>
      </c>
      <c r="G281" s="18">
        <v>14278.66</v>
      </c>
      <c r="H281" s="18">
        <v>21623.82</v>
      </c>
      <c r="I281" s="18">
        <v>24513.57</v>
      </c>
      <c r="J281" s="18">
        <v>956</v>
      </c>
      <c r="K281" s="18"/>
      <c r="L281" s="19">
        <f t="shared" si="12"/>
        <v>138461.48000000001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>
        <v>1500</v>
      </c>
      <c r="I286" s="18"/>
      <c r="J286" s="18"/>
      <c r="K286" s="18"/>
      <c r="L286" s="19">
        <f t="shared" si="12"/>
        <v>1500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558928.05999999994</v>
      </c>
      <c r="G289" s="42">
        <f t="shared" si="13"/>
        <v>90324.3</v>
      </c>
      <c r="H289" s="42">
        <f t="shared" si="13"/>
        <v>181569.37</v>
      </c>
      <c r="I289" s="42">
        <f t="shared" si="13"/>
        <v>29111.82</v>
      </c>
      <c r="J289" s="42">
        <f t="shared" si="13"/>
        <v>1806.01</v>
      </c>
      <c r="K289" s="42">
        <f t="shared" si="13"/>
        <v>0</v>
      </c>
      <c r="L289" s="41">
        <f t="shared" si="13"/>
        <v>861739.55999999994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3801.57</v>
      </c>
      <c r="G294" s="18">
        <v>290.82</v>
      </c>
      <c r="H294" s="18">
        <v>2150</v>
      </c>
      <c r="I294" s="18">
        <v>3.5</v>
      </c>
      <c r="J294" s="18"/>
      <c r="K294" s="18"/>
      <c r="L294" s="19">
        <f>SUM(F294:K294)</f>
        <v>6245.89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168640.18</v>
      </c>
      <c r="G295" s="18">
        <v>31231.56</v>
      </c>
      <c r="H295" s="18">
        <v>45.45</v>
      </c>
      <c r="I295" s="18">
        <v>794.9</v>
      </c>
      <c r="J295" s="18"/>
      <c r="K295" s="18"/>
      <c r="L295" s="19">
        <f>SUM(F295:K295)</f>
        <v>200712.09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>
        <v>35715.919999999998</v>
      </c>
      <c r="I299" s="18"/>
      <c r="J299" s="18"/>
      <c r="K299" s="18"/>
      <c r="L299" s="19">
        <f t="shared" ref="L299:L305" si="14">SUM(F299:K299)</f>
        <v>35715.919999999998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8718.11</v>
      </c>
      <c r="G300" s="18">
        <v>1666.11</v>
      </c>
      <c r="H300" s="18">
        <v>7332.01</v>
      </c>
      <c r="I300" s="18"/>
      <c r="J300" s="18"/>
      <c r="K300" s="18"/>
      <c r="L300" s="19">
        <f t="shared" si="14"/>
        <v>17716.230000000003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181159.86</v>
      </c>
      <c r="G308" s="42">
        <f t="shared" si="15"/>
        <v>33188.49</v>
      </c>
      <c r="H308" s="42">
        <f t="shared" si="15"/>
        <v>45243.38</v>
      </c>
      <c r="I308" s="42">
        <f t="shared" si="15"/>
        <v>798.4</v>
      </c>
      <c r="J308" s="42">
        <f t="shared" si="15"/>
        <v>0</v>
      </c>
      <c r="K308" s="42">
        <f t="shared" si="15"/>
        <v>0</v>
      </c>
      <c r="L308" s="41">
        <f t="shared" si="15"/>
        <v>260390.13000000003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5586.93</v>
      </c>
      <c r="G313" s="18">
        <v>427.4</v>
      </c>
      <c r="H313" s="18"/>
      <c r="I313" s="18">
        <v>503.78</v>
      </c>
      <c r="J313" s="18"/>
      <c r="K313" s="18"/>
      <c r="L313" s="19">
        <f>SUM(F313:K313)</f>
        <v>6518.11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232419.78</v>
      </c>
      <c r="G314" s="18">
        <v>103702.36</v>
      </c>
      <c r="H314" s="18">
        <v>66.790000000000006</v>
      </c>
      <c r="I314" s="18">
        <v>1168.21</v>
      </c>
      <c r="J314" s="18"/>
      <c r="K314" s="18"/>
      <c r="L314" s="19">
        <f>SUM(F314:K314)</f>
        <v>337357.14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>
        <v>4678</v>
      </c>
      <c r="I315" s="18">
        <v>8061.64</v>
      </c>
      <c r="J315" s="18">
        <v>109058.98</v>
      </c>
      <c r="K315" s="18"/>
      <c r="L315" s="19">
        <f>SUM(F315:K315)</f>
        <v>121798.62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v>4125</v>
      </c>
      <c r="G316" s="18">
        <v>722.37</v>
      </c>
      <c r="H316" s="18"/>
      <c r="I316" s="18"/>
      <c r="J316" s="18"/>
      <c r="K316" s="18"/>
      <c r="L316" s="19">
        <f>SUM(F316:K316)</f>
        <v>4847.37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138754</v>
      </c>
      <c r="G318" s="18">
        <v>25657.06</v>
      </c>
      <c r="H318" s="18">
        <v>52660.14</v>
      </c>
      <c r="I318" s="18"/>
      <c r="J318" s="18"/>
      <c r="K318" s="18"/>
      <c r="L318" s="19">
        <f t="shared" ref="L318:L324" si="16">SUM(F318:K318)</f>
        <v>217071.2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16412.439999999999</v>
      </c>
      <c r="G319" s="18">
        <v>3043.43</v>
      </c>
      <c r="H319" s="18">
        <v>20168.8</v>
      </c>
      <c r="I319" s="18">
        <v>5225.33</v>
      </c>
      <c r="J319" s="18"/>
      <c r="K319" s="18">
        <v>4701.66</v>
      </c>
      <c r="L319" s="19">
        <f t="shared" si="16"/>
        <v>49551.66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397298.14999999997</v>
      </c>
      <c r="G327" s="42">
        <f t="shared" si="17"/>
        <v>133552.62</v>
      </c>
      <c r="H327" s="42">
        <f t="shared" si="17"/>
        <v>77573.73</v>
      </c>
      <c r="I327" s="42">
        <f t="shared" si="17"/>
        <v>14958.960000000001</v>
      </c>
      <c r="J327" s="42">
        <f t="shared" si="17"/>
        <v>109058.98</v>
      </c>
      <c r="K327" s="42">
        <f t="shared" si="17"/>
        <v>4701.66</v>
      </c>
      <c r="L327" s="41">
        <f t="shared" si="17"/>
        <v>737144.1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>
        <f>103014.82+8970.82+18969.55</f>
        <v>130955.19000000002</v>
      </c>
      <c r="G332" s="18">
        <f>12459.11+1284.66+1603.57</f>
        <v>15347.34</v>
      </c>
      <c r="H332" s="18">
        <v>11087.77</v>
      </c>
      <c r="I332" s="18">
        <f>6175.99+245.46</f>
        <v>6421.45</v>
      </c>
      <c r="J332" s="18">
        <v>4847.32</v>
      </c>
      <c r="K332" s="18"/>
      <c r="L332" s="19">
        <f t="shared" si="18"/>
        <v>168659.07000000004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130955.19000000002</v>
      </c>
      <c r="G336" s="41">
        <f t="shared" si="19"/>
        <v>15347.34</v>
      </c>
      <c r="H336" s="41">
        <f t="shared" si="19"/>
        <v>11087.77</v>
      </c>
      <c r="I336" s="41">
        <f t="shared" si="19"/>
        <v>6421.45</v>
      </c>
      <c r="J336" s="41">
        <f t="shared" si="19"/>
        <v>4847.32</v>
      </c>
      <c r="K336" s="41">
        <f t="shared" si="19"/>
        <v>0</v>
      </c>
      <c r="L336" s="41">
        <f t="shared" si="18"/>
        <v>168659.07000000004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1268341.2599999998</v>
      </c>
      <c r="G337" s="41">
        <f t="shared" si="20"/>
        <v>272412.75</v>
      </c>
      <c r="H337" s="41">
        <f t="shared" si="20"/>
        <v>315474.25</v>
      </c>
      <c r="I337" s="41">
        <f t="shared" si="20"/>
        <v>51290.63</v>
      </c>
      <c r="J337" s="41">
        <f t="shared" si="20"/>
        <v>115712.31</v>
      </c>
      <c r="K337" s="41">
        <f t="shared" si="20"/>
        <v>4701.66</v>
      </c>
      <c r="L337" s="41">
        <f t="shared" si="20"/>
        <v>2027932.86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>
        <v>7108.91</v>
      </c>
      <c r="L343" s="19">
        <f t="shared" ref="L343:L349" si="21">SUM(F343:K343)</f>
        <v>7108.91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7108.91</v>
      </c>
      <c r="L350" s="41">
        <f>SUM(L340:L349)</f>
        <v>7108.91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1268341.2599999998</v>
      </c>
      <c r="G351" s="41">
        <f>G337</f>
        <v>272412.75</v>
      </c>
      <c r="H351" s="41">
        <f>H337</f>
        <v>315474.25</v>
      </c>
      <c r="I351" s="41">
        <f>I337</f>
        <v>51290.63</v>
      </c>
      <c r="J351" s="41">
        <f>J337</f>
        <v>115712.31</v>
      </c>
      <c r="K351" s="47">
        <f>K337+K350</f>
        <v>11810.57</v>
      </c>
      <c r="L351" s="41">
        <f>L337+L350</f>
        <v>2035041.77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255958.15</v>
      </c>
      <c r="G357" s="18">
        <v>78928.160000000003</v>
      </c>
      <c r="H357" s="18">
        <v>17946.330000000002</v>
      </c>
      <c r="I357" s="18">
        <v>189841.83</v>
      </c>
      <c r="J357" s="18">
        <v>11804.33</v>
      </c>
      <c r="K357" s="18"/>
      <c r="L357" s="13">
        <f>SUM(F357:K357)</f>
        <v>554478.79999999993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140310.63</v>
      </c>
      <c r="G358" s="18">
        <v>48569.11</v>
      </c>
      <c r="H358" s="18">
        <v>10715.71</v>
      </c>
      <c r="I358" s="18">
        <v>203530</v>
      </c>
      <c r="J358" s="18">
        <v>5286.66</v>
      </c>
      <c r="K358" s="18"/>
      <c r="L358" s="19">
        <f>SUM(F358:K358)</f>
        <v>408412.10999999993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248581.83</v>
      </c>
      <c r="G359" s="18">
        <v>89883.92</v>
      </c>
      <c r="H359" s="18">
        <f>21357.65+0.01</f>
        <v>21357.66</v>
      </c>
      <c r="I359" s="18">
        <v>408129.53</v>
      </c>
      <c r="J359" s="18">
        <v>9342.2099999999991</v>
      </c>
      <c r="K359" s="18"/>
      <c r="L359" s="19">
        <f>SUM(F359:K359)</f>
        <v>777295.14999999991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644850.61</v>
      </c>
      <c r="G361" s="47">
        <f t="shared" si="22"/>
        <v>217381.19</v>
      </c>
      <c r="H361" s="47">
        <f t="shared" si="22"/>
        <v>50019.7</v>
      </c>
      <c r="I361" s="47">
        <f t="shared" si="22"/>
        <v>801501.36</v>
      </c>
      <c r="J361" s="47">
        <f t="shared" si="22"/>
        <v>26433.199999999997</v>
      </c>
      <c r="K361" s="47">
        <f t="shared" si="22"/>
        <v>0</v>
      </c>
      <c r="L361" s="47">
        <f t="shared" si="22"/>
        <v>1740186.0599999998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176819.89</v>
      </c>
      <c r="G366" s="18">
        <v>192626.14</v>
      </c>
      <c r="H366" s="18">
        <v>378681.18</v>
      </c>
      <c r="I366" s="56">
        <f>SUM(F366:H366)</f>
        <v>748127.21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13021.94</v>
      </c>
      <c r="G367" s="63">
        <v>10903.86</v>
      </c>
      <c r="H367" s="63">
        <v>29448.35</v>
      </c>
      <c r="I367" s="56">
        <f>SUM(F367:H367)</f>
        <v>53374.15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189841.83000000002</v>
      </c>
      <c r="G368" s="47">
        <f>SUM(G366:G367)</f>
        <v>203530</v>
      </c>
      <c r="H368" s="47">
        <f>SUM(H366:H367)</f>
        <v>408129.52999999997</v>
      </c>
      <c r="I368" s="47">
        <f>SUM(I366:I367)</f>
        <v>801501.36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>
        <f>50464.07+14212.5</f>
        <v>64676.57</v>
      </c>
      <c r="I377" s="18"/>
      <c r="J377" s="18">
        <v>6254.34</v>
      </c>
      <c r="K377" s="18"/>
      <c r="L377" s="13">
        <f t="shared" si="23"/>
        <v>70930.91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64676.57</v>
      </c>
      <c r="I381" s="41">
        <f t="shared" si="24"/>
        <v>0</v>
      </c>
      <c r="J381" s="47">
        <f t="shared" si="24"/>
        <v>6254.34</v>
      </c>
      <c r="K381" s="47">
        <f t="shared" si="24"/>
        <v>0</v>
      </c>
      <c r="L381" s="47">
        <f t="shared" si="24"/>
        <v>70930.91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>
        <v>79.05</v>
      </c>
      <c r="I388" s="18">
        <v>283650</v>
      </c>
      <c r="J388" s="24" t="s">
        <v>289</v>
      </c>
      <c r="K388" s="24" t="s">
        <v>289</v>
      </c>
      <c r="L388" s="56">
        <f t="shared" si="25"/>
        <v>283729.05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>
        <v>12.59</v>
      </c>
      <c r="I390" s="18">
        <v>2085</v>
      </c>
      <c r="J390" s="24" t="s">
        <v>289</v>
      </c>
      <c r="K390" s="24" t="s">
        <v>289</v>
      </c>
      <c r="L390" s="56">
        <f t="shared" si="25"/>
        <v>2097.59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>
        <v>14.02</v>
      </c>
      <c r="I391" s="18">
        <v>8290</v>
      </c>
      <c r="J391" s="24" t="s">
        <v>289</v>
      </c>
      <c r="K391" s="24" t="s">
        <v>289</v>
      </c>
      <c r="L391" s="56">
        <f t="shared" si="25"/>
        <v>8304.02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105.66</v>
      </c>
      <c r="I392" s="65">
        <f>SUM(I386:I391)</f>
        <v>294025</v>
      </c>
      <c r="J392" s="45" t="s">
        <v>289</v>
      </c>
      <c r="K392" s="45" t="s">
        <v>289</v>
      </c>
      <c r="L392" s="47">
        <f>SUM(L386:L391)</f>
        <v>294130.66000000003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0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105.66</v>
      </c>
      <c r="I407" s="47">
        <f>I392+I400+I406</f>
        <v>294025</v>
      </c>
      <c r="J407" s="24" t="s">
        <v>289</v>
      </c>
      <c r="K407" s="24" t="s">
        <v>289</v>
      </c>
      <c r="L407" s="47">
        <f>L392+L400+L406</f>
        <v>294130.66000000003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>
        <v>283650</v>
      </c>
      <c r="L414" s="56">
        <f t="shared" si="27"/>
        <v>283650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283650</v>
      </c>
      <c r="L418" s="47">
        <f t="shared" si="28"/>
        <v>283650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283650</v>
      </c>
      <c r="L433" s="47">
        <f t="shared" si="32"/>
        <v>283650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29635.24</v>
      </c>
      <c r="G439" s="18">
        <f>2787.23+44983.81+10338.88+46285.94</f>
        <v>104395.86</v>
      </c>
      <c r="H439" s="18"/>
      <c r="I439" s="56">
        <f t="shared" si="33"/>
        <v>134031.1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29635.24</v>
      </c>
      <c r="G445" s="13">
        <f>SUM(G438:G444)</f>
        <v>104395.86</v>
      </c>
      <c r="H445" s="13">
        <f>SUM(H438:H444)</f>
        <v>0</v>
      </c>
      <c r="I445" s="13">
        <f>SUM(I438:I444)</f>
        <v>134031.1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29635.24</v>
      </c>
      <c r="G458" s="18">
        <v>104395.86</v>
      </c>
      <c r="H458" s="18"/>
      <c r="I458" s="56">
        <f t="shared" si="34"/>
        <v>134031.1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29635.24</v>
      </c>
      <c r="G459" s="83">
        <f>SUM(G453:G458)</f>
        <v>104395.86</v>
      </c>
      <c r="H459" s="83">
        <f>SUM(H453:H458)</f>
        <v>0</v>
      </c>
      <c r="I459" s="83">
        <f>SUM(I453:I458)</f>
        <v>134031.1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29635.24</v>
      </c>
      <c r="G460" s="42">
        <f>G451+G459</f>
        <v>104395.86</v>
      </c>
      <c r="H460" s="42">
        <f>H451+H459</f>
        <v>0</v>
      </c>
      <c r="I460" s="42">
        <f>I451+I459</f>
        <v>134031.1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1136988.96</v>
      </c>
      <c r="G464" s="18">
        <v>427514.83</v>
      </c>
      <c r="H464" s="18">
        <v>149592.24</v>
      </c>
      <c r="I464" s="18">
        <v>112416.88</v>
      </c>
      <c r="J464" s="18">
        <v>123550.44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56628127.219999999</v>
      </c>
      <c r="G467" s="18">
        <f>1640970.73-1819.95</f>
        <v>1639150.78</v>
      </c>
      <c r="H467" s="18">
        <v>2086215.07</v>
      </c>
      <c r="I467" s="18">
        <v>0</v>
      </c>
      <c r="J467" s="18">
        <f>105.66+10375+283650</f>
        <v>294130.65999999997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56628127.219999999</v>
      </c>
      <c r="G469" s="53">
        <f>SUM(G467:G468)</f>
        <v>1639150.78</v>
      </c>
      <c r="H469" s="53">
        <f>SUM(H467:H468)</f>
        <v>2086215.07</v>
      </c>
      <c r="I469" s="53">
        <f>SUM(I467:I468)</f>
        <v>0</v>
      </c>
      <c r="J469" s="53">
        <f>SUM(J467:J468)</f>
        <v>294130.65999999997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55505329.109999999</v>
      </c>
      <c r="G471" s="18">
        <v>1740186.06</v>
      </c>
      <c r="H471" s="18">
        <v>2035041.77</v>
      </c>
      <c r="I471" s="18">
        <v>70930.91</v>
      </c>
      <c r="J471" s="18">
        <v>283650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55505329.109999999</v>
      </c>
      <c r="G473" s="53">
        <f>SUM(G471:G472)</f>
        <v>1740186.06</v>
      </c>
      <c r="H473" s="53">
        <f>SUM(H471:H472)</f>
        <v>2035041.77</v>
      </c>
      <c r="I473" s="53">
        <f>SUM(I471:I472)</f>
        <v>70930.91</v>
      </c>
      <c r="J473" s="53">
        <f>SUM(J471:J472)</f>
        <v>283650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2259787.0700000003</v>
      </c>
      <c r="G475" s="53">
        <f>(G464+G469)- G473</f>
        <v>326479.55000000005</v>
      </c>
      <c r="H475" s="53">
        <f>(H464+H469)- H473</f>
        <v>200765.54000000004</v>
      </c>
      <c r="I475" s="53">
        <f>(I464+I469)- I473</f>
        <v>41485.97</v>
      </c>
      <c r="J475" s="53">
        <f>(J464+J469)- J473</f>
        <v>134031.09999999998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 t="s">
        <v>915</v>
      </c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>
        <v>16</v>
      </c>
      <c r="H489" s="154">
        <v>16</v>
      </c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 t="s">
        <v>911</v>
      </c>
      <c r="H490" s="155" t="s">
        <v>911</v>
      </c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910</v>
      </c>
      <c r="G491" s="155" t="s">
        <v>912</v>
      </c>
      <c r="H491" s="155" t="s">
        <v>914</v>
      </c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2585000</v>
      </c>
      <c r="G492" s="18">
        <v>14506160</v>
      </c>
      <c r="H492" s="18">
        <v>7493840</v>
      </c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5.25</v>
      </c>
      <c r="G493" s="18" t="s">
        <v>913</v>
      </c>
      <c r="H493" s="18">
        <v>3.51</v>
      </c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1140000</v>
      </c>
      <c r="G494" s="18">
        <v>13595000</v>
      </c>
      <c r="H494" s="18">
        <v>6550000</v>
      </c>
      <c r="I494" s="18"/>
      <c r="J494" s="18"/>
      <c r="K494" s="53">
        <f>SUM(F494:J494)</f>
        <v>21285000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285000</v>
      </c>
      <c r="G496" s="18">
        <v>910000</v>
      </c>
      <c r="H496" s="18">
        <v>440000</v>
      </c>
      <c r="I496" s="18"/>
      <c r="J496" s="18"/>
      <c r="K496" s="53">
        <f t="shared" si="35"/>
        <v>1635000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f>F494-F496</f>
        <v>855000</v>
      </c>
      <c r="G497" s="204">
        <f>G494-G496</f>
        <v>12685000</v>
      </c>
      <c r="H497" s="204">
        <f>H494-H496</f>
        <v>6110000</v>
      </c>
      <c r="I497" s="204"/>
      <c r="J497" s="204"/>
      <c r="K497" s="205">
        <f t="shared" si="35"/>
        <v>19650000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71962.509999999995</v>
      </c>
      <c r="G498" s="18">
        <v>4781603.75</v>
      </c>
      <c r="H498" s="18">
        <v>2005168.75</v>
      </c>
      <c r="I498" s="18"/>
      <c r="J498" s="18"/>
      <c r="K498" s="53">
        <f t="shared" si="35"/>
        <v>6858735.0099999998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926962.51</v>
      </c>
      <c r="G499" s="42">
        <f>SUM(G497:G498)</f>
        <v>17466603.75</v>
      </c>
      <c r="H499" s="42">
        <f>SUM(H497:H498)</f>
        <v>8115168.75</v>
      </c>
      <c r="I499" s="42">
        <f>SUM(I497:I498)</f>
        <v>0</v>
      </c>
      <c r="J499" s="42">
        <f>SUM(J497:J498)</f>
        <v>0</v>
      </c>
      <c r="K499" s="42">
        <f t="shared" si="35"/>
        <v>26508735.010000002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285000</v>
      </c>
      <c r="G500" s="204">
        <v>910000</v>
      </c>
      <c r="H500" s="204">
        <v>440000</v>
      </c>
      <c r="I500" s="204"/>
      <c r="J500" s="204"/>
      <c r="K500" s="205">
        <f t="shared" si="35"/>
        <v>1635000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f>23868.75+16031.25</f>
        <v>39900</v>
      </c>
      <c r="G501" s="18">
        <f>341860.75+317336.25</f>
        <v>659197</v>
      </c>
      <c r="H501" s="18">
        <f>132456.25+125856.25</f>
        <v>258312.5</v>
      </c>
      <c r="I501" s="18"/>
      <c r="J501" s="18"/>
      <c r="K501" s="53">
        <f t="shared" si="35"/>
        <v>957409.5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324900</v>
      </c>
      <c r="G502" s="42">
        <f>SUM(G500:G501)</f>
        <v>1569197</v>
      </c>
      <c r="H502" s="42">
        <f>SUM(H500:H501)</f>
        <v>698312.5</v>
      </c>
      <c r="I502" s="42">
        <f>SUM(I500:I501)</f>
        <v>0</v>
      </c>
      <c r="J502" s="42">
        <f>SUM(J500:J501)</f>
        <v>0</v>
      </c>
      <c r="K502" s="42">
        <f t="shared" si="35"/>
        <v>2592409.5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F197+F276-F561</f>
        <v>2871161.34</v>
      </c>
      <c r="G520" s="18">
        <f>G197+G276-G561</f>
        <v>682210.15999999992</v>
      </c>
      <c r="H520" s="18">
        <f>H197+H276-H561</f>
        <v>652447.68999999994</v>
      </c>
      <c r="I520" s="18">
        <f>I197+I276-I561</f>
        <v>9300.4000000000015</v>
      </c>
      <c r="J520" s="18">
        <f t="shared" ref="J520:K520" si="36">J197+J276</f>
        <v>2581.81</v>
      </c>
      <c r="K520" s="18">
        <f t="shared" si="36"/>
        <v>352.95</v>
      </c>
      <c r="L520" s="88">
        <f>SUM(F520:K520)</f>
        <v>4218054.3499999996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f>F215+F295-F562</f>
        <v>1209199.6099999999</v>
      </c>
      <c r="G521" s="18">
        <f>G215+G295-G562</f>
        <v>362238.79</v>
      </c>
      <c r="H521" s="18">
        <f>H215+H295-H562</f>
        <v>535177.69999999995</v>
      </c>
      <c r="I521" s="18">
        <f>I215+I295-I562</f>
        <v>5707.53</v>
      </c>
      <c r="J521" s="18">
        <f t="shared" ref="J521:K521" si="37">J215+J295</f>
        <v>1635.14</v>
      </c>
      <c r="K521" s="18">
        <f t="shared" si="37"/>
        <v>223.54</v>
      </c>
      <c r="L521" s="88">
        <f>SUM(F521:K521)</f>
        <v>2114182.3099999996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f>F233+F314-F563</f>
        <v>1536087.82</v>
      </c>
      <c r="G522" s="18">
        <f>G233+G314-G563</f>
        <v>562246.51</v>
      </c>
      <c r="H522" s="18">
        <f>H233+H314-H563</f>
        <v>1772455.26</v>
      </c>
      <c r="I522" s="18">
        <f>I233+I314-I563</f>
        <v>2294.3400000000006</v>
      </c>
      <c r="J522" s="18">
        <f t="shared" ref="J522:K522" si="38">J233+J314</f>
        <v>2403.0700000000002</v>
      </c>
      <c r="K522" s="18">
        <f t="shared" si="38"/>
        <v>328.52</v>
      </c>
      <c r="L522" s="88">
        <f>SUM(F522:K522)</f>
        <v>3875815.5199999996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5616448.7699999996</v>
      </c>
      <c r="G523" s="108">
        <f t="shared" ref="G523:L523" si="39">SUM(G520:G522)</f>
        <v>1606695.46</v>
      </c>
      <c r="H523" s="108">
        <f t="shared" si="39"/>
        <v>2960080.65</v>
      </c>
      <c r="I523" s="108">
        <f t="shared" si="39"/>
        <v>17302.27</v>
      </c>
      <c r="J523" s="108">
        <f t="shared" si="39"/>
        <v>6620.02</v>
      </c>
      <c r="K523" s="108">
        <f t="shared" si="39"/>
        <v>905.01</v>
      </c>
      <c r="L523" s="89">
        <f t="shared" si="39"/>
        <v>10208052.18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f>620151.4+56114.76</f>
        <v>676266.16</v>
      </c>
      <c r="G525" s="18">
        <f>F525*0.2</f>
        <v>135253.23200000002</v>
      </c>
      <c r="H525" s="18">
        <f>176737.47+59298.01</f>
        <v>236035.48</v>
      </c>
      <c r="I525" s="18">
        <f>4900.96+2088.32</f>
        <v>6989.2800000000007</v>
      </c>
      <c r="J525" s="18"/>
      <c r="K525" s="18"/>
      <c r="L525" s="88">
        <f>SUM(F525:K525)</f>
        <v>1054544.152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f>35539.35</f>
        <v>35539.35</v>
      </c>
      <c r="G526" s="18">
        <f t="shared" ref="G526:G527" si="40">F526*0.2</f>
        <v>7107.87</v>
      </c>
      <c r="H526" s="18">
        <f>37555.4</f>
        <v>37555.4</v>
      </c>
      <c r="I526" s="18">
        <v>1322.6</v>
      </c>
      <c r="J526" s="18"/>
      <c r="K526" s="18"/>
      <c r="L526" s="88">
        <f>SUM(F526:K526)</f>
        <v>81525.22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f>138754+52229.89</f>
        <v>190983.89</v>
      </c>
      <c r="G527" s="18">
        <f t="shared" si="40"/>
        <v>38196.778000000006</v>
      </c>
      <c r="H527" s="18">
        <v>55192.76</v>
      </c>
      <c r="I527" s="18">
        <v>1943.75</v>
      </c>
      <c r="J527" s="18"/>
      <c r="K527" s="18"/>
      <c r="L527" s="88">
        <f>SUM(F527:K527)</f>
        <v>286317.17800000001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902789.4</v>
      </c>
      <c r="G528" s="89">
        <f t="shared" ref="G528:L528" si="41">SUM(G525:G527)</f>
        <v>180557.88</v>
      </c>
      <c r="H528" s="89">
        <f t="shared" si="41"/>
        <v>328783.64</v>
      </c>
      <c r="I528" s="89">
        <f t="shared" si="41"/>
        <v>10255.630000000001</v>
      </c>
      <c r="J528" s="89">
        <f t="shared" si="41"/>
        <v>0</v>
      </c>
      <c r="K528" s="89">
        <f t="shared" si="41"/>
        <v>0</v>
      </c>
      <c r="L528" s="89">
        <f t="shared" si="41"/>
        <v>1422386.55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f>(91200+80800)*0.39</f>
        <v>67080</v>
      </c>
      <c r="G530" s="18">
        <f>F530*0.4</f>
        <v>26832</v>
      </c>
      <c r="H530" s="18"/>
      <c r="I530" s="18"/>
      <c r="J530" s="18"/>
      <c r="K530" s="18"/>
      <c r="L530" s="88">
        <f>SUM(F530:K530)</f>
        <v>93912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f>(91200+80800)*0.247</f>
        <v>42484</v>
      </c>
      <c r="G531" s="18">
        <f>F531*0.4</f>
        <v>16993.600000000002</v>
      </c>
      <c r="H531" s="18"/>
      <c r="I531" s="18"/>
      <c r="J531" s="18"/>
      <c r="K531" s="18"/>
      <c r="L531" s="88">
        <f>SUM(F531:K531)</f>
        <v>59477.600000000006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f>(91200+80800)*0.363</f>
        <v>62436</v>
      </c>
      <c r="G532" s="18">
        <f>F532*0.4</f>
        <v>24974.400000000001</v>
      </c>
      <c r="H532" s="18"/>
      <c r="I532" s="18"/>
      <c r="J532" s="18"/>
      <c r="K532" s="18"/>
      <c r="L532" s="88">
        <f>SUM(F532:K532)</f>
        <v>87410.4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172000</v>
      </c>
      <c r="G533" s="89">
        <f t="shared" ref="G533:L533" si="42">SUM(G530:G532)</f>
        <v>68800</v>
      </c>
      <c r="H533" s="89">
        <f t="shared" si="42"/>
        <v>0</v>
      </c>
      <c r="I533" s="89">
        <f t="shared" si="42"/>
        <v>0</v>
      </c>
      <c r="J533" s="89">
        <f t="shared" si="42"/>
        <v>0</v>
      </c>
      <c r="K533" s="89">
        <f t="shared" si="42"/>
        <v>0</v>
      </c>
      <c r="L533" s="89">
        <f t="shared" si="42"/>
        <v>240800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1082.08</v>
      </c>
      <c r="I537" s="18"/>
      <c r="J537" s="18"/>
      <c r="K537" s="18"/>
      <c r="L537" s="88">
        <f>SUM(F537:K537)</f>
        <v>1082.08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43">SUM(G535:G537)</f>
        <v>0</v>
      </c>
      <c r="H538" s="89">
        <f t="shared" si="43"/>
        <v>1082.08</v>
      </c>
      <c r="I538" s="89">
        <f t="shared" si="43"/>
        <v>0</v>
      </c>
      <c r="J538" s="89">
        <f t="shared" si="43"/>
        <v>0</v>
      </c>
      <c r="K538" s="89">
        <f t="shared" si="43"/>
        <v>0</v>
      </c>
      <c r="L538" s="89">
        <f t="shared" si="43"/>
        <v>1082.08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f>728354.95*0.39</f>
        <v>284058.43050000002</v>
      </c>
      <c r="I540" s="18"/>
      <c r="J540" s="18"/>
      <c r="K540" s="18"/>
      <c r="L540" s="88">
        <f>SUM(F540:K540)</f>
        <v>284058.43050000002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f>728354.95*0.247</f>
        <v>179903.67264999999</v>
      </c>
      <c r="I541" s="18"/>
      <c r="J541" s="18"/>
      <c r="K541" s="18"/>
      <c r="L541" s="88">
        <f>SUM(F541:K541)</f>
        <v>179903.67264999999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f>728354.95*0.363</f>
        <v>264392.84684999997</v>
      </c>
      <c r="I542" s="18"/>
      <c r="J542" s="18"/>
      <c r="K542" s="18"/>
      <c r="L542" s="88">
        <f>SUM(F542:K542)</f>
        <v>264392.84684999997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4">SUM(G540:G542)</f>
        <v>0</v>
      </c>
      <c r="H543" s="193">
        <f t="shared" si="44"/>
        <v>728354.95</v>
      </c>
      <c r="I543" s="193">
        <f t="shared" si="44"/>
        <v>0</v>
      </c>
      <c r="J543" s="193">
        <f t="shared" si="44"/>
        <v>0</v>
      </c>
      <c r="K543" s="193">
        <f t="shared" si="44"/>
        <v>0</v>
      </c>
      <c r="L543" s="193">
        <f t="shared" si="44"/>
        <v>728354.95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6691238.1699999999</v>
      </c>
      <c r="G544" s="89">
        <f t="shared" ref="G544:L544" si="45">G523+G528+G533+G538+G543</f>
        <v>1856053.3399999999</v>
      </c>
      <c r="H544" s="89">
        <f t="shared" si="45"/>
        <v>4018301.3200000003</v>
      </c>
      <c r="I544" s="89">
        <f t="shared" si="45"/>
        <v>27557.9</v>
      </c>
      <c r="J544" s="89">
        <f t="shared" si="45"/>
        <v>6620.02</v>
      </c>
      <c r="K544" s="89">
        <f t="shared" si="45"/>
        <v>905.01</v>
      </c>
      <c r="L544" s="89">
        <f t="shared" si="45"/>
        <v>12600675.76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4218054.3499999996</v>
      </c>
      <c r="G548" s="87">
        <f>L525</f>
        <v>1054544.152</v>
      </c>
      <c r="H548" s="87">
        <f>L530</f>
        <v>93912</v>
      </c>
      <c r="I548" s="87">
        <f>L535</f>
        <v>0</v>
      </c>
      <c r="J548" s="87">
        <f>L540</f>
        <v>284058.43050000002</v>
      </c>
      <c r="K548" s="87">
        <f>SUM(F548:J548)</f>
        <v>5650568.9324999992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2114182.3099999996</v>
      </c>
      <c r="G549" s="87">
        <f>L526</f>
        <v>81525.22</v>
      </c>
      <c r="H549" s="87">
        <f>L531</f>
        <v>59477.600000000006</v>
      </c>
      <c r="I549" s="87">
        <f>L536</f>
        <v>0</v>
      </c>
      <c r="J549" s="87">
        <f>L541</f>
        <v>179903.67264999999</v>
      </c>
      <c r="K549" s="87">
        <f>SUM(F549:J549)</f>
        <v>2435088.80265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3875815.5199999996</v>
      </c>
      <c r="G550" s="87">
        <f>L527</f>
        <v>286317.17800000001</v>
      </c>
      <c r="H550" s="87">
        <f>L532</f>
        <v>87410.4</v>
      </c>
      <c r="I550" s="87">
        <f>L537</f>
        <v>1082.08</v>
      </c>
      <c r="J550" s="87">
        <f>L542</f>
        <v>264392.84684999997</v>
      </c>
      <c r="K550" s="87">
        <f>SUM(F550:J550)</f>
        <v>4515018.0248499997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6">SUM(F548:F550)</f>
        <v>10208052.18</v>
      </c>
      <c r="G551" s="89">
        <f t="shared" si="46"/>
        <v>1422386.55</v>
      </c>
      <c r="H551" s="89">
        <f t="shared" si="46"/>
        <v>240800</v>
      </c>
      <c r="I551" s="89">
        <f t="shared" si="46"/>
        <v>1082.08</v>
      </c>
      <c r="J551" s="89">
        <f t="shared" si="46"/>
        <v>728354.95</v>
      </c>
      <c r="K551" s="89">
        <f t="shared" si="46"/>
        <v>12600675.759999998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7">SUM(F556:F558)</f>
        <v>0</v>
      </c>
      <c r="G559" s="108">
        <f t="shared" si="47"/>
        <v>0</v>
      </c>
      <c r="H559" s="108">
        <f t="shared" si="47"/>
        <v>0</v>
      </c>
      <c r="I559" s="108">
        <f t="shared" si="47"/>
        <v>0</v>
      </c>
      <c r="J559" s="108">
        <f t="shared" si="47"/>
        <v>0</v>
      </c>
      <c r="K559" s="108">
        <f t="shared" si="47"/>
        <v>0</v>
      </c>
      <c r="L559" s="89">
        <f t="shared" si="47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69870.45</v>
      </c>
      <c r="G561" s="18">
        <v>20939.55</v>
      </c>
      <c r="H561" s="18">
        <v>258.26</v>
      </c>
      <c r="I561" s="18">
        <v>1976.33</v>
      </c>
      <c r="J561" s="18"/>
      <c r="K561" s="18"/>
      <c r="L561" s="88">
        <f>SUM(F561:K561)</f>
        <v>93044.59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v>44118.45</v>
      </c>
      <c r="G562" s="18">
        <v>13244.28</v>
      </c>
      <c r="H562" s="18">
        <v>163.35</v>
      </c>
      <c r="I562" s="18">
        <v>1250.04</v>
      </c>
      <c r="J562" s="18"/>
      <c r="K562" s="18"/>
      <c r="L562" s="88">
        <f>SUM(F562:K562)</f>
        <v>58776.119999999995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v>64797.57</v>
      </c>
      <c r="G563" s="18">
        <v>19452.11</v>
      </c>
      <c r="H563" s="18">
        <v>239.92</v>
      </c>
      <c r="I563" s="18">
        <v>1835.94</v>
      </c>
      <c r="J563" s="18"/>
      <c r="K563" s="18"/>
      <c r="L563" s="88">
        <f>SUM(F563:K563)</f>
        <v>86325.54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8">SUM(F561:F563)</f>
        <v>178786.47</v>
      </c>
      <c r="G564" s="89">
        <f t="shared" si="48"/>
        <v>53635.94</v>
      </c>
      <c r="H564" s="89">
        <f t="shared" si="48"/>
        <v>661.53</v>
      </c>
      <c r="I564" s="89">
        <f t="shared" si="48"/>
        <v>5062.3099999999995</v>
      </c>
      <c r="J564" s="89">
        <f t="shared" si="48"/>
        <v>0</v>
      </c>
      <c r="K564" s="89">
        <f t="shared" si="48"/>
        <v>0</v>
      </c>
      <c r="L564" s="89">
        <f t="shared" si="48"/>
        <v>238146.25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9">SUM(G566:G568)</f>
        <v>0</v>
      </c>
      <c r="H569" s="193">
        <f t="shared" si="49"/>
        <v>0</v>
      </c>
      <c r="I569" s="193">
        <f t="shared" si="49"/>
        <v>0</v>
      </c>
      <c r="J569" s="193">
        <f t="shared" si="49"/>
        <v>0</v>
      </c>
      <c r="K569" s="193">
        <f t="shared" si="49"/>
        <v>0</v>
      </c>
      <c r="L569" s="193">
        <f t="shared" si="49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178786.47</v>
      </c>
      <c r="G570" s="89">
        <f t="shared" ref="G570:L570" si="50">G559+G564+G569</f>
        <v>53635.94</v>
      </c>
      <c r="H570" s="89">
        <f t="shared" si="50"/>
        <v>661.53</v>
      </c>
      <c r="I570" s="89">
        <f t="shared" si="50"/>
        <v>5062.3099999999995</v>
      </c>
      <c r="J570" s="89">
        <f t="shared" si="50"/>
        <v>0</v>
      </c>
      <c r="K570" s="89">
        <f t="shared" si="50"/>
        <v>0</v>
      </c>
      <c r="L570" s="89">
        <f t="shared" si="50"/>
        <v>238146.25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v>39857.15</v>
      </c>
      <c r="G574" s="18"/>
      <c r="H574" s="18">
        <v>3567.84</v>
      </c>
      <c r="I574" s="87">
        <f>SUM(F574:H574)</f>
        <v>43424.990000000005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51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51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51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51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51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51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f>330859.07+38006.94*0.39+85418.05*0.39</f>
        <v>378994.8161</v>
      </c>
      <c r="G581" s="18">
        <f>427986.02+38006.94*0.247+85418.05*0.247</f>
        <v>458471.99253000005</v>
      </c>
      <c r="H581" s="18">
        <f>991437.69+38006.94*0.363+85418.05*0.363</f>
        <v>1036240.9613699999</v>
      </c>
      <c r="I581" s="87">
        <f t="shared" si="51"/>
        <v>1873707.77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>
        <v>4263</v>
      </c>
      <c r="G582" s="18"/>
      <c r="H582" s="18">
        <v>606236.87</v>
      </c>
      <c r="I582" s="87">
        <f t="shared" si="51"/>
        <v>610499.87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51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51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>
        <v>2478.9</v>
      </c>
      <c r="I585" s="87">
        <f t="shared" si="51"/>
        <v>2478.9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51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642732.94999999995</v>
      </c>
      <c r="I590" s="18">
        <v>407064.2</v>
      </c>
      <c r="J590" s="18">
        <v>598236.04</v>
      </c>
      <c r="K590" s="104">
        <f t="shared" ref="K590:K596" si="52">SUM(H590:J590)</f>
        <v>1648033.19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284058.43</v>
      </c>
      <c r="I591" s="18">
        <v>179903.67</v>
      </c>
      <c r="J591" s="18">
        <v>264392.84999999998</v>
      </c>
      <c r="K591" s="104">
        <f t="shared" si="52"/>
        <v>728354.95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5888.75</v>
      </c>
      <c r="K592" s="104">
        <f t="shared" si="52"/>
        <v>5888.75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8777.5</v>
      </c>
      <c r="J593" s="18">
        <v>51898.85</v>
      </c>
      <c r="K593" s="104">
        <f t="shared" si="52"/>
        <v>60676.35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>
        <v>369.5</v>
      </c>
      <c r="J594" s="18">
        <v>24330.55</v>
      </c>
      <c r="K594" s="104">
        <f t="shared" si="52"/>
        <v>24700.05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52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52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926791.37999999989</v>
      </c>
      <c r="I597" s="108">
        <f>SUM(I590:I596)</f>
        <v>596114.87</v>
      </c>
      <c r="J597" s="108">
        <f>SUM(J590:J596)</f>
        <v>944747.04</v>
      </c>
      <c r="K597" s="108">
        <f>SUM(K590:K596)</f>
        <v>2467653.2899999996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153020.01999999999</v>
      </c>
      <c r="I603" s="18">
        <v>85279.28</v>
      </c>
      <c r="J603" s="18">
        <v>313771.67</v>
      </c>
      <c r="K603" s="104">
        <f>SUM(H603:J603)</f>
        <v>552070.97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153020.01999999999</v>
      </c>
      <c r="I604" s="108">
        <f>SUM(I601:I603)</f>
        <v>85279.28</v>
      </c>
      <c r="J604" s="108">
        <f>SUM(J601:J603)</f>
        <v>313771.67</v>
      </c>
      <c r="K604" s="108">
        <f>SUM(K601:K603)</f>
        <v>552070.97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53">SUM(F610:F612)</f>
        <v>0</v>
      </c>
      <c r="G613" s="108">
        <f t="shared" si="53"/>
        <v>0</v>
      </c>
      <c r="H613" s="108">
        <f t="shared" si="53"/>
        <v>0</v>
      </c>
      <c r="I613" s="108">
        <f t="shared" si="53"/>
        <v>0</v>
      </c>
      <c r="J613" s="108">
        <f t="shared" si="53"/>
        <v>0</v>
      </c>
      <c r="K613" s="108">
        <f t="shared" si="53"/>
        <v>0</v>
      </c>
      <c r="L613" s="89">
        <f t="shared" si="53"/>
        <v>0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3065115.84</v>
      </c>
      <c r="H616" s="109">
        <f>SUM(F51)</f>
        <v>3065115.8399999994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337707.92</v>
      </c>
      <c r="H617" s="109">
        <f>SUM(G51)</f>
        <v>337707.92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421080.49</v>
      </c>
      <c r="H618" s="109">
        <f>SUM(H51)</f>
        <v>421080.49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47063.72</v>
      </c>
      <c r="H619" s="109">
        <f>SUM(I51)</f>
        <v>47063.72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134031.1</v>
      </c>
      <c r="H620" s="109">
        <f>SUM(J51)</f>
        <v>134031.1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2259787.0699999994</v>
      </c>
      <c r="H621" s="109">
        <f>F475</f>
        <v>2259787.0700000003</v>
      </c>
      <c r="I621" s="121" t="s">
        <v>101</v>
      </c>
      <c r="J621" s="109">
        <f t="shared" ref="J621:J654" si="54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326479.55</v>
      </c>
      <c r="H622" s="109">
        <f>G475</f>
        <v>326479.55000000005</v>
      </c>
      <c r="I622" s="121" t="s">
        <v>102</v>
      </c>
      <c r="J622" s="109">
        <f t="shared" si="54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200765.53999999998</v>
      </c>
      <c r="H623" s="109">
        <f>H475</f>
        <v>200765.54000000004</v>
      </c>
      <c r="I623" s="121" t="s">
        <v>103</v>
      </c>
      <c r="J623" s="109">
        <f t="shared" si="54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41485.97</v>
      </c>
      <c r="H624" s="109">
        <f>I475</f>
        <v>41485.97</v>
      </c>
      <c r="I624" s="121" t="s">
        <v>104</v>
      </c>
      <c r="J624" s="109">
        <f t="shared" si="54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134031.1</v>
      </c>
      <c r="H625" s="109">
        <f>J475</f>
        <v>134031.09999999998</v>
      </c>
      <c r="I625" s="140" t="s">
        <v>105</v>
      </c>
      <c r="J625" s="109">
        <f t="shared" si="54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56628127.219999991</v>
      </c>
      <c r="H626" s="104">
        <f>SUM(F467)</f>
        <v>56628127.219999999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1639150.78</v>
      </c>
      <c r="H627" s="104">
        <f>SUM(G467)</f>
        <v>1639150.78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2086215.07</v>
      </c>
      <c r="H628" s="104">
        <f>SUM(H467)</f>
        <v>2086215.07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294130.65999999997</v>
      </c>
      <c r="H630" s="104">
        <f>SUM(J467)</f>
        <v>294130.65999999997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55505329.109999999</v>
      </c>
      <c r="H631" s="104">
        <f>SUM(F471)</f>
        <v>55505329.109999999</v>
      </c>
      <c r="I631" s="140" t="s">
        <v>111</v>
      </c>
      <c r="J631" s="109">
        <f t="shared" si="54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2035041.77</v>
      </c>
      <c r="H632" s="104">
        <f>SUM(H471)</f>
        <v>2035041.77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801501.36</v>
      </c>
      <c r="H633" s="104">
        <f>I368</f>
        <v>801501.36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1740186.0599999998</v>
      </c>
      <c r="H634" s="104">
        <f>SUM(G471)</f>
        <v>1740186.06</v>
      </c>
      <c r="I634" s="140" t="s">
        <v>114</v>
      </c>
      <c r="J634" s="109">
        <f t="shared" si="54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70930.91</v>
      </c>
      <c r="H635" s="104">
        <f>SUM(I471)</f>
        <v>70930.91</v>
      </c>
      <c r="I635" s="140" t="s">
        <v>116</v>
      </c>
      <c r="J635" s="109">
        <f t="shared" si="54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294130.66000000003</v>
      </c>
      <c r="H636" s="164">
        <f>SUM(J467)</f>
        <v>294130.65999999997</v>
      </c>
      <c r="I636" s="165" t="s">
        <v>110</v>
      </c>
      <c r="J636" s="151">
        <f t="shared" si="54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283650</v>
      </c>
      <c r="H637" s="164">
        <f>SUM(J471)</f>
        <v>283650</v>
      </c>
      <c r="I637" s="165" t="s">
        <v>117</v>
      </c>
      <c r="J637" s="151">
        <f t="shared" si="54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29635.24</v>
      </c>
      <c r="H638" s="104">
        <f>SUM(F460)</f>
        <v>29635.24</v>
      </c>
      <c r="I638" s="140" t="s">
        <v>857</v>
      </c>
      <c r="J638" s="109">
        <f t="shared" si="54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104395.86</v>
      </c>
      <c r="H639" s="104">
        <f>SUM(G460)</f>
        <v>104395.86</v>
      </c>
      <c r="I639" s="140" t="s">
        <v>858</v>
      </c>
      <c r="J639" s="109">
        <f t="shared" si="54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4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134031.1</v>
      </c>
      <c r="H641" s="104">
        <f>SUM(I460)</f>
        <v>134031.1</v>
      </c>
      <c r="I641" s="140" t="s">
        <v>860</v>
      </c>
      <c r="J641" s="109">
        <f t="shared" si="54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4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105.66</v>
      </c>
      <c r="H643" s="104">
        <f>H407</f>
        <v>105.66</v>
      </c>
      <c r="I643" s="140" t="s">
        <v>481</v>
      </c>
      <c r="J643" s="109">
        <f t="shared" si="54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4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294130.65999999997</v>
      </c>
      <c r="H645" s="104">
        <f>L407</f>
        <v>294130.66000000003</v>
      </c>
      <c r="I645" s="140" t="s">
        <v>478</v>
      </c>
      <c r="J645" s="109">
        <f t="shared" si="54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2467653.2899999996</v>
      </c>
      <c r="H646" s="104">
        <f>L207+L225+L243</f>
        <v>2467653.29</v>
      </c>
      <c r="I646" s="140" t="s">
        <v>397</v>
      </c>
      <c r="J646" s="109">
        <f t="shared" si="54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552070.97</v>
      </c>
      <c r="H647" s="104">
        <f>(J256+J337)-(J254+J335)</f>
        <v>552070.97</v>
      </c>
      <c r="I647" s="140" t="s">
        <v>703</v>
      </c>
      <c r="J647" s="109">
        <f t="shared" si="54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926791.38</v>
      </c>
      <c r="H648" s="104">
        <f>H597</f>
        <v>926791.37999999989</v>
      </c>
      <c r="I648" s="140" t="s">
        <v>389</v>
      </c>
      <c r="J648" s="109">
        <f t="shared" si="54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596114.87</v>
      </c>
      <c r="H649" s="104">
        <f>I597</f>
        <v>596114.87</v>
      </c>
      <c r="I649" s="140" t="s">
        <v>390</v>
      </c>
      <c r="J649" s="109">
        <f t="shared" si="54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944747.04</v>
      </c>
      <c r="H650" s="104">
        <f>J597</f>
        <v>944747.04</v>
      </c>
      <c r="I650" s="140" t="s">
        <v>391</v>
      </c>
      <c r="J650" s="109">
        <f t="shared" si="54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4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4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4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4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22151517.050000001</v>
      </c>
      <c r="G659" s="19">
        <f>(L228+L308+L358)</f>
        <v>11859023.91</v>
      </c>
      <c r="H659" s="19">
        <f>(L246+L327+L359)</f>
        <v>22374512.550000001</v>
      </c>
      <c r="I659" s="19">
        <f>SUM(F659:H659)</f>
        <v>56385053.510000005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375635.51011106023</v>
      </c>
      <c r="G660" s="19">
        <f>(L358/IF(SUM(L357:L359)=0,1,SUM(L357:L359))*(SUM(G96:G109)))</f>
        <v>276681.61753954244</v>
      </c>
      <c r="H660" s="19">
        <f>(L359/IF(SUM(L357:L359)=0,1,SUM(L357:L359))*(SUM(G96:G109)))</f>
        <v>526583.99234939739</v>
      </c>
      <c r="I660" s="19">
        <f>SUM(F660:H660)</f>
        <v>1178901.1200000001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928291.38</v>
      </c>
      <c r="G661" s="19">
        <f>(L225+L305)-(J225+J305)</f>
        <v>596114.87</v>
      </c>
      <c r="H661" s="19">
        <f>(L243+L324)-(J243+J324)</f>
        <v>944747.04</v>
      </c>
      <c r="I661" s="19">
        <f>SUM(F661:H661)</f>
        <v>2469153.29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576134.98609999998</v>
      </c>
      <c r="G662" s="199">
        <f>SUM(G574:G586)+SUM(I601:I603)+L611</f>
        <v>543751.27253000007</v>
      </c>
      <c r="H662" s="199">
        <f>SUM(H574:H586)+SUM(J601:J603)+L612</f>
        <v>1962296.2413699997</v>
      </c>
      <c r="I662" s="19">
        <f>SUM(F662:H662)</f>
        <v>3082182.5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20271455.173788942</v>
      </c>
      <c r="G663" s="19">
        <f>G659-SUM(G660:G662)</f>
        <v>10442476.149930459</v>
      </c>
      <c r="H663" s="19">
        <f>H659-SUM(H660:H662)</f>
        <v>18940885.276280604</v>
      </c>
      <c r="I663" s="19">
        <f>I659-SUM(I660:I662)</f>
        <v>49654816.600000009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1586.68</v>
      </c>
      <c r="G664" s="248">
        <v>976.4</v>
      </c>
      <c r="H664" s="248">
        <v>1419.42</v>
      </c>
      <c r="I664" s="19">
        <f>SUM(F664:H664)</f>
        <v>3982.5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12776.02</v>
      </c>
      <c r="G666" s="19">
        <f>ROUND(G663/G664,2)</f>
        <v>10694.88</v>
      </c>
      <c r="H666" s="19">
        <f>ROUND(H663/H664,2)</f>
        <v>13344.1</v>
      </c>
      <c r="I666" s="19">
        <f>ROUND(I663/I664,2)</f>
        <v>12468.25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27.32</v>
      </c>
      <c r="I669" s="19">
        <f>SUM(F669:H669)</f>
        <v>27.32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12776.02</v>
      </c>
      <c r="G671" s="19">
        <f>ROUND((G663+G668)/(G664+G669),2)</f>
        <v>10694.88</v>
      </c>
      <c r="H671" s="19">
        <f>ROUND((H663+H668)/(H664+H669),2)</f>
        <v>13092.11</v>
      </c>
      <c r="I671" s="19">
        <f>ROUND((I663+I668)/(I664+I669),2)</f>
        <v>12383.3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1" sqref="C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Salem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16068887.170000002</v>
      </c>
      <c r="C9" s="229">
        <f>'DOE25'!G196+'DOE25'!G214+'DOE25'!G232+'DOE25'!G275+'DOE25'!G294+'DOE25'!G313</f>
        <v>7111213.870000001</v>
      </c>
    </row>
    <row r="10" spans="1:3" x14ac:dyDescent="0.2">
      <c r="A10" t="s">
        <v>779</v>
      </c>
      <c r="B10" s="240">
        <v>15320596.75</v>
      </c>
      <c r="C10" s="240">
        <v>6780095.3600000003</v>
      </c>
    </row>
    <row r="11" spans="1:3" x14ac:dyDescent="0.2">
      <c r="A11" t="s">
        <v>780</v>
      </c>
      <c r="B11" s="240">
        <v>363815.42</v>
      </c>
      <c r="C11" s="240">
        <v>160988.32</v>
      </c>
    </row>
    <row r="12" spans="1:3" x14ac:dyDescent="0.2">
      <c r="A12" t="s">
        <v>781</v>
      </c>
      <c r="B12" s="240">
        <v>384475</v>
      </c>
      <c r="C12" s="240">
        <v>170130.19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16068887.17</v>
      </c>
      <c r="C13" s="231">
        <f>SUM(C10:C12)</f>
        <v>7111213.870000001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5795235.2400000002</v>
      </c>
      <c r="C18" s="229">
        <f>'DOE25'!G197+'DOE25'!G215+'DOE25'!G233+'DOE25'!G276+'DOE25'!G295+'DOE25'!G314</f>
        <v>1660331.4000000001</v>
      </c>
    </row>
    <row r="19" spans="1:3" x14ac:dyDescent="0.2">
      <c r="A19" t="s">
        <v>779</v>
      </c>
      <c r="B19" s="240">
        <v>2122761</v>
      </c>
      <c r="C19" s="240">
        <v>608174</v>
      </c>
    </row>
    <row r="20" spans="1:3" x14ac:dyDescent="0.2">
      <c r="A20" t="s">
        <v>780</v>
      </c>
      <c r="B20" s="240">
        <v>2740450.16</v>
      </c>
      <c r="C20" s="240">
        <v>785132.9</v>
      </c>
    </row>
    <row r="21" spans="1:3" x14ac:dyDescent="0.2">
      <c r="A21" t="s">
        <v>781</v>
      </c>
      <c r="B21" s="240">
        <v>932024.08</v>
      </c>
      <c r="C21" s="240">
        <v>267024.5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5795235.2400000002</v>
      </c>
      <c r="C22" s="231">
        <f>SUM(C19:C21)</f>
        <v>1660331.4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1042524.25</v>
      </c>
      <c r="C27" s="234">
        <f>'DOE25'!G198+'DOE25'!G216+'DOE25'!G234+'DOE25'!G277+'DOE25'!G296+'DOE25'!G315</f>
        <v>436902.21</v>
      </c>
    </row>
    <row r="28" spans="1:3" x14ac:dyDescent="0.2">
      <c r="A28" t="s">
        <v>779</v>
      </c>
      <c r="B28" s="240">
        <v>777896.93</v>
      </c>
      <c r="C28" s="240">
        <v>326015.11</v>
      </c>
    </row>
    <row r="29" spans="1:3" x14ac:dyDescent="0.2">
      <c r="A29" t="s">
        <v>780</v>
      </c>
      <c r="B29" s="240">
        <v>100864.92</v>
      </c>
      <c r="C29" s="240">
        <v>42257.1</v>
      </c>
    </row>
    <row r="30" spans="1:3" x14ac:dyDescent="0.2">
      <c r="A30" t="s">
        <v>781</v>
      </c>
      <c r="B30" s="240">
        <v>163762.4</v>
      </c>
      <c r="C30" s="240">
        <v>68630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1042524.2500000001</v>
      </c>
      <c r="C31" s="231">
        <f>SUM(C28:C30)</f>
        <v>436902.20999999996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515825.89999999997</v>
      </c>
      <c r="C36" s="235">
        <f>'DOE25'!G199+'DOE25'!G217+'DOE25'!G235+'DOE25'!G278+'DOE25'!G297+'DOE25'!G316</f>
        <v>132998.78</v>
      </c>
    </row>
    <row r="37" spans="1:3" x14ac:dyDescent="0.2">
      <c r="A37" t="s">
        <v>779</v>
      </c>
      <c r="B37" s="240">
        <v>515825.9</v>
      </c>
      <c r="C37" s="240">
        <v>132998.78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515825.9</v>
      </c>
      <c r="C40" s="231">
        <f>SUM(C37:C39)</f>
        <v>132998.78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E10" sqref="E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Salem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35580816.270000003</v>
      </c>
      <c r="D5" s="20">
        <f>SUM('DOE25'!L196:L199)+SUM('DOE25'!L214:L217)+SUM('DOE25'!L232:L235)-F5-G5</f>
        <v>35430595.120000005</v>
      </c>
      <c r="E5" s="243"/>
      <c r="F5" s="255">
        <f>SUM('DOE25'!J196:J199)+SUM('DOE25'!J214:J217)+SUM('DOE25'!J232:J235)</f>
        <v>128683</v>
      </c>
      <c r="G5" s="53">
        <f>SUM('DOE25'!K196:K199)+SUM('DOE25'!K214:K217)+SUM('DOE25'!K232:K235)</f>
        <v>21538.149999999998</v>
      </c>
      <c r="H5" s="259"/>
    </row>
    <row r="6" spans="1:9" x14ac:dyDescent="0.2">
      <c r="A6" s="32">
        <v>2100</v>
      </c>
      <c r="B6" t="s">
        <v>801</v>
      </c>
      <c r="C6" s="245">
        <f t="shared" si="0"/>
        <v>4164996.86</v>
      </c>
      <c r="D6" s="20">
        <f>'DOE25'!L201+'DOE25'!L219+'DOE25'!L237-F6-G6</f>
        <v>4164311.86</v>
      </c>
      <c r="E6" s="243"/>
      <c r="F6" s="255">
        <f>'DOE25'!J201+'DOE25'!J219+'DOE25'!J237</f>
        <v>0</v>
      </c>
      <c r="G6" s="53">
        <f>'DOE25'!K201+'DOE25'!K219+'DOE25'!K237</f>
        <v>685</v>
      </c>
      <c r="H6" s="259"/>
    </row>
    <row r="7" spans="1:9" x14ac:dyDescent="0.2">
      <c r="A7" s="32">
        <v>2200</v>
      </c>
      <c r="B7" t="s">
        <v>834</v>
      </c>
      <c r="C7" s="245">
        <f t="shared" si="0"/>
        <v>1958569.3399999999</v>
      </c>
      <c r="D7" s="20">
        <f>'DOE25'!L202+'DOE25'!L220+'DOE25'!L238-F7-G7</f>
        <v>1717409.8499999999</v>
      </c>
      <c r="E7" s="243"/>
      <c r="F7" s="255">
        <f>'DOE25'!J202+'DOE25'!J220+'DOE25'!J238</f>
        <v>241035.49</v>
      </c>
      <c r="G7" s="53">
        <f>'DOE25'!K202+'DOE25'!K220+'DOE25'!K238</f>
        <v>124</v>
      </c>
      <c r="H7" s="259"/>
    </row>
    <row r="8" spans="1:9" x14ac:dyDescent="0.2">
      <c r="A8" s="32">
        <v>2300</v>
      </c>
      <c r="B8" t="s">
        <v>802</v>
      </c>
      <c r="C8" s="245">
        <f t="shared" si="0"/>
        <v>428269.27999999991</v>
      </c>
      <c r="D8" s="243"/>
      <c r="E8" s="20">
        <f>'DOE25'!L203+'DOE25'!L221+'DOE25'!L239-F8-G8-D9-D11</f>
        <v>416747.7699999999</v>
      </c>
      <c r="F8" s="255">
        <f>'DOE25'!J203+'DOE25'!J221+'DOE25'!J239</f>
        <v>0</v>
      </c>
      <c r="G8" s="53">
        <f>'DOE25'!K203+'DOE25'!K221+'DOE25'!K239</f>
        <v>11521.510000000002</v>
      </c>
      <c r="H8" s="259"/>
    </row>
    <row r="9" spans="1:9" x14ac:dyDescent="0.2">
      <c r="A9" s="32">
        <v>2310</v>
      </c>
      <c r="B9" t="s">
        <v>818</v>
      </c>
      <c r="C9" s="245">
        <f t="shared" si="0"/>
        <v>19372.79</v>
      </c>
      <c r="D9" s="244">
        <f>18662.47+710.32</f>
        <v>19372.79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19887.77</v>
      </c>
      <c r="D10" s="243"/>
      <c r="E10" s="244">
        <v>19887.77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399349.27</v>
      </c>
      <c r="D11" s="244">
        <v>399349.27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2750794.13</v>
      </c>
      <c r="D12" s="20">
        <f>'DOE25'!L204+'DOE25'!L222+'DOE25'!L240-F12-G12</f>
        <v>2741225.1799999997</v>
      </c>
      <c r="E12" s="243"/>
      <c r="F12" s="255">
        <f>'DOE25'!J204+'DOE25'!J222+'DOE25'!J240</f>
        <v>1500</v>
      </c>
      <c r="G12" s="53">
        <f>'DOE25'!K204+'DOE25'!K222+'DOE25'!K240</f>
        <v>8068.95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442339.72000000003</v>
      </c>
      <c r="D13" s="243"/>
      <c r="E13" s="20">
        <f>'DOE25'!L205+'DOE25'!L223+'DOE25'!L241-F13-G13</f>
        <v>442339.72000000003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4012470.8899999997</v>
      </c>
      <c r="D14" s="20">
        <f>'DOE25'!L206+'DOE25'!L224+'DOE25'!L242-F14-G14</f>
        <v>3947330.7199999997</v>
      </c>
      <c r="E14" s="243"/>
      <c r="F14" s="255">
        <f>'DOE25'!J206+'DOE25'!J224+'DOE25'!J242</f>
        <v>65140.17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2467653.29</v>
      </c>
      <c r="D15" s="20">
        <f>'DOE25'!L207+'DOE25'!L225+'DOE25'!L243-F15-G15</f>
        <v>2467653.29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560961.82000000007</v>
      </c>
      <c r="D16" s="243"/>
      <c r="E16" s="20">
        <f>'DOE25'!L208+'DOE25'!L226+'DOE25'!L244-F16-G16</f>
        <v>560961.82000000007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199266.45</v>
      </c>
      <c r="D17" s="20">
        <f>'DOE25'!L250-F17-G17</f>
        <v>199266.45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558381.5</v>
      </c>
      <c r="D22" s="243"/>
      <c r="E22" s="243"/>
      <c r="F22" s="255">
        <f>'DOE25'!L254+'DOE25'!L335</f>
        <v>558381.5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1962087.5</v>
      </c>
      <c r="D25" s="243"/>
      <c r="E25" s="243"/>
      <c r="F25" s="258"/>
      <c r="G25" s="256"/>
      <c r="H25" s="257">
        <f>'DOE25'!L259+'DOE25'!L260+'DOE25'!L340+'DOE25'!L341</f>
        <v>1962087.5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992058.84999999986</v>
      </c>
      <c r="D29" s="20">
        <f>'DOE25'!L357+'DOE25'!L358+'DOE25'!L359-'DOE25'!I366-F29-G29</f>
        <v>965625.64999999991</v>
      </c>
      <c r="E29" s="243"/>
      <c r="F29" s="255">
        <f>'DOE25'!J357+'DOE25'!J358+'DOE25'!J359</f>
        <v>26433.199999999997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2027932.86</v>
      </c>
      <c r="D31" s="20">
        <f>'DOE25'!L289+'DOE25'!L308+'DOE25'!L327+'DOE25'!L332+'DOE25'!L333+'DOE25'!L334-F31-G31</f>
        <v>1907518.8900000001</v>
      </c>
      <c r="E31" s="243"/>
      <c r="F31" s="255">
        <f>'DOE25'!J289+'DOE25'!J308+'DOE25'!J327+'DOE25'!J332+'DOE25'!J333+'DOE25'!J334</f>
        <v>115712.31</v>
      </c>
      <c r="G31" s="53">
        <f>'DOE25'!K289+'DOE25'!K308+'DOE25'!K327+'DOE25'!K332+'DOE25'!K333+'DOE25'!K334</f>
        <v>4701.66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53959659.070000008</v>
      </c>
      <c r="E33" s="246">
        <f>SUM(E5:E31)</f>
        <v>1439937.08</v>
      </c>
      <c r="F33" s="246">
        <f>SUM(F5:F31)</f>
        <v>1136885.67</v>
      </c>
      <c r="G33" s="246">
        <f>SUM(G5:G31)</f>
        <v>46639.270000000004</v>
      </c>
      <c r="H33" s="246">
        <f>SUM(H5:H31)</f>
        <v>1962087.5</v>
      </c>
    </row>
    <row r="35" spans="2:8" ht="12" thickBot="1" x14ac:dyDescent="0.25">
      <c r="B35" s="253" t="s">
        <v>847</v>
      </c>
      <c r="D35" s="254">
        <f>E33</f>
        <v>1439937.08</v>
      </c>
      <c r="E35" s="249"/>
    </row>
    <row r="36" spans="2:8" ht="12" thickTop="1" x14ac:dyDescent="0.2">
      <c r="B36" t="s">
        <v>815</v>
      </c>
      <c r="D36" s="20">
        <f>D33</f>
        <v>53959659.070000008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D8" sqref="D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Salem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2929762.67</v>
      </c>
      <c r="D8" s="95">
        <f>'DOE25'!G9</f>
        <v>38929.89</v>
      </c>
      <c r="E8" s="95">
        <f>'DOE25'!H9</f>
        <v>0</v>
      </c>
      <c r="F8" s="95">
        <f>'DOE25'!I9</f>
        <v>47063.72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134031.1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212985.35</v>
      </c>
      <c r="E11" s="95">
        <f>'DOE25'!H12</f>
        <v>140123.62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130349.70999999999</v>
      </c>
      <c r="D12" s="95">
        <f>'DOE25'!G13</f>
        <v>85792.68</v>
      </c>
      <c r="E12" s="95">
        <f>'DOE25'!H13</f>
        <v>280956.87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5003.46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3065115.84</v>
      </c>
      <c r="D18" s="41">
        <f>SUM(D8:D17)</f>
        <v>337707.92</v>
      </c>
      <c r="E18" s="41">
        <f>SUM(E8:E17)</f>
        <v>421080.49</v>
      </c>
      <c r="F18" s="41">
        <f>SUM(F8:F17)</f>
        <v>47063.72</v>
      </c>
      <c r="G18" s="41">
        <f>SUM(G8:G17)</f>
        <v>134031.1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195026.78000000003</v>
      </c>
      <c r="D21" s="95">
        <f>'DOE25'!G22</f>
        <v>0</v>
      </c>
      <c r="E21" s="95">
        <f>'DOE25'!H22</f>
        <v>158082.19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505868.99</v>
      </c>
      <c r="D23" s="95">
        <f>'DOE25'!G24</f>
        <v>10212.98</v>
      </c>
      <c r="E23" s="95">
        <f>'DOE25'!H24</f>
        <v>9436.6299999999992</v>
      </c>
      <c r="F23" s="95">
        <f>'DOE25'!I24</f>
        <v>5577.75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104433</v>
      </c>
      <c r="D28" s="95">
        <f>'DOE25'!G29</f>
        <v>1015.39</v>
      </c>
      <c r="E28" s="95">
        <f>'DOE25'!H29</f>
        <v>52796.13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805328.77</v>
      </c>
      <c r="D31" s="41">
        <f>SUM(D21:D30)</f>
        <v>11228.369999999999</v>
      </c>
      <c r="E31" s="41">
        <f>SUM(E21:E30)</f>
        <v>220314.95</v>
      </c>
      <c r="F31" s="41">
        <f>SUM(F21:F30)</f>
        <v>5577.75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120000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93640.6</v>
      </c>
      <c r="D46" s="95">
        <f>'DOE25'!G47</f>
        <v>326479.55</v>
      </c>
      <c r="E46" s="95">
        <f>'DOE25'!H47</f>
        <v>200765.53999999998</v>
      </c>
      <c r="F46" s="95">
        <f>'DOE25'!I47</f>
        <v>41485.97</v>
      </c>
      <c r="G46" s="95">
        <f>'DOE25'!J47</f>
        <v>134031.1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454248.14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1591898.3299999996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2259787.0699999994</v>
      </c>
      <c r="D49" s="41">
        <f>SUM(D34:D48)</f>
        <v>326479.55</v>
      </c>
      <c r="E49" s="41">
        <f>SUM(E34:E48)</f>
        <v>200765.53999999998</v>
      </c>
      <c r="F49" s="41">
        <f>SUM(F34:F48)</f>
        <v>41485.97</v>
      </c>
      <c r="G49" s="41">
        <f>SUM(G34:G48)</f>
        <v>134031.1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3065115.8399999994</v>
      </c>
      <c r="D50" s="41">
        <f>D49+D31</f>
        <v>337707.92</v>
      </c>
      <c r="E50" s="41">
        <f>E49+E31</f>
        <v>421080.49</v>
      </c>
      <c r="F50" s="41">
        <f>F49+F31</f>
        <v>47063.72</v>
      </c>
      <c r="G50" s="41">
        <f>G49+G31</f>
        <v>134031.1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38465963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578558.57000000007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0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105.66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1178901.1200000001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163992.6</v>
      </c>
      <c r="D60" s="95">
        <f>SUM('DOE25'!G97:G109)</f>
        <v>0</v>
      </c>
      <c r="E60" s="95">
        <f>SUM('DOE25'!H97:H109)</f>
        <v>33253.300000000003</v>
      </c>
      <c r="F60" s="95">
        <f>SUM('DOE25'!I97:I109)</f>
        <v>0</v>
      </c>
      <c r="G60" s="95">
        <f>SUM('DOE25'!J97:J109)</f>
        <v>294025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742551.17</v>
      </c>
      <c r="D61" s="130">
        <f>SUM(D56:D60)</f>
        <v>1178901.1200000001</v>
      </c>
      <c r="E61" s="130">
        <f>SUM(E56:E60)</f>
        <v>33253.300000000003</v>
      </c>
      <c r="F61" s="130">
        <f>SUM(F56:F60)</f>
        <v>0</v>
      </c>
      <c r="G61" s="130">
        <f>SUM(G56:G60)</f>
        <v>294130.65999999997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39208514.170000002</v>
      </c>
      <c r="D62" s="22">
        <f>D55+D61</f>
        <v>1178901.1200000001</v>
      </c>
      <c r="E62" s="22">
        <f>E55+E61</f>
        <v>33253.300000000003</v>
      </c>
      <c r="F62" s="22">
        <f>F55+F61</f>
        <v>0</v>
      </c>
      <c r="G62" s="22">
        <f>G55+G61</f>
        <v>294130.65999999997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5317323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9093680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14411003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521714.1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51635.119999999995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367425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1043267.8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176757.61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0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2160799.63</v>
      </c>
      <c r="D77" s="130">
        <f>SUM(D71:D76)</f>
        <v>0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16571802.629999999</v>
      </c>
      <c r="D80" s="130">
        <f>SUM(D78:D79)+D77+D69</f>
        <v>0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59399.11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502738.39999999997</v>
      </c>
      <c r="D87" s="95">
        <f>SUM('DOE25'!G152:G160)</f>
        <v>460249.66</v>
      </c>
      <c r="E87" s="95">
        <f>SUM('DOE25'!H152:H160)</f>
        <v>1971215.52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76005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562137.51</v>
      </c>
      <c r="D90" s="131">
        <f>SUM(D84:D89)</f>
        <v>460249.66</v>
      </c>
      <c r="E90" s="131">
        <f>SUM(E84:E89)</f>
        <v>2047220.52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2022.9099999999999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283650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5741.25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285672.90999999997</v>
      </c>
      <c r="D102" s="86">
        <f>SUM(D92:D101)</f>
        <v>0</v>
      </c>
      <c r="E102" s="86">
        <f>SUM(E92:E101)</f>
        <v>5741.25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56628127.219999991</v>
      </c>
      <c r="D103" s="86">
        <f>D62+D80+D90+D102</f>
        <v>1639150.78</v>
      </c>
      <c r="E103" s="86">
        <f>E62+E80+E90+E102</f>
        <v>2086215.07</v>
      </c>
      <c r="F103" s="86">
        <f>F62+F80+F90+F102</f>
        <v>0</v>
      </c>
      <c r="G103" s="86">
        <f>G62+G80+G102</f>
        <v>294130.65999999997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23866110.32</v>
      </c>
      <c r="D108" s="24" t="s">
        <v>289</v>
      </c>
      <c r="E108" s="95">
        <f>('DOE25'!L275)+('DOE25'!L294)+('DOE25'!L313)</f>
        <v>22493.97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9261778.2400000002</v>
      </c>
      <c r="D109" s="24" t="s">
        <v>289</v>
      </c>
      <c r="E109" s="95">
        <f>('DOE25'!L276)+('DOE25'!L295)+('DOE25'!L314)</f>
        <v>1184420.19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1583537.5499999998</v>
      </c>
      <c r="D110" s="24" t="s">
        <v>289</v>
      </c>
      <c r="E110" s="95">
        <f>('DOE25'!L277)+('DOE25'!L296)+('DOE25'!L315)</f>
        <v>121798.62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869390.16</v>
      </c>
      <c r="D111" s="24" t="s">
        <v>289</v>
      </c>
      <c r="E111" s="95">
        <f>+('DOE25'!L278)+('DOE25'!L297)+('DOE25'!L316)</f>
        <v>4847.37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199266.45</v>
      </c>
      <c r="D113" s="24" t="s">
        <v>289</v>
      </c>
      <c r="E113" s="95">
        <f>+ SUM('DOE25'!L332:L334)</f>
        <v>168659.07000000004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35780082.719999999</v>
      </c>
      <c r="D114" s="86">
        <f>SUM(D108:D113)</f>
        <v>0</v>
      </c>
      <c r="E114" s="86">
        <f>SUM(E108:E113)</f>
        <v>1502219.22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4164996.86</v>
      </c>
      <c r="D117" s="24" t="s">
        <v>289</v>
      </c>
      <c r="E117" s="95">
        <f>+('DOE25'!L280)+('DOE25'!L299)+('DOE25'!L318)</f>
        <v>318484.27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1958569.3399999999</v>
      </c>
      <c r="D118" s="24" t="s">
        <v>289</v>
      </c>
      <c r="E118" s="95">
        <f>+('DOE25'!L281)+('DOE25'!L300)+('DOE25'!L319)</f>
        <v>205729.37000000002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846991.34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2750794.13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442339.72000000003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4012470.8899999997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2467653.29</v>
      </c>
      <c r="D123" s="24" t="s">
        <v>289</v>
      </c>
      <c r="E123" s="95">
        <f>+('DOE25'!L286)+('DOE25'!L305)+('DOE25'!L324)</f>
        <v>1500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560961.82000000007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1740186.0599999998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17204777.389999997</v>
      </c>
      <c r="D127" s="86">
        <f>SUM(D117:D126)</f>
        <v>1740186.0599999998</v>
      </c>
      <c r="E127" s="86">
        <f>SUM(E117:E126)</f>
        <v>525713.64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558381.5</v>
      </c>
      <c r="D129" s="24" t="s">
        <v>289</v>
      </c>
      <c r="E129" s="129">
        <f>'DOE25'!L335</f>
        <v>0</v>
      </c>
      <c r="F129" s="129">
        <f>SUM('DOE25'!L373:'DOE25'!L379)</f>
        <v>70930.91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1635000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327087.5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7108.91</v>
      </c>
      <c r="F133" s="95">
        <f>'DOE25'!K380</f>
        <v>0</v>
      </c>
      <c r="G133" s="95">
        <f>'DOE25'!K433</f>
        <v>283650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294130.66000000003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-294130.66000000003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2520469</v>
      </c>
      <c r="D143" s="141">
        <f>SUM(D129:D142)</f>
        <v>0</v>
      </c>
      <c r="E143" s="141">
        <f>SUM(E129:E142)</f>
        <v>7108.91</v>
      </c>
      <c r="F143" s="141">
        <f>SUM(F129:F142)</f>
        <v>70930.91</v>
      </c>
      <c r="G143" s="141">
        <f>SUM(G129:G142)</f>
        <v>283650</v>
      </c>
    </row>
    <row r="144" spans="1:7" ht="12.75" thickTop="1" thickBot="1" x14ac:dyDescent="0.25">
      <c r="A144" s="33" t="s">
        <v>244</v>
      </c>
      <c r="C144" s="86">
        <f>(C114+C127+C143)</f>
        <v>55505329.109999999</v>
      </c>
      <c r="D144" s="86">
        <f>(D114+D127+D143)</f>
        <v>1740186.0599999998</v>
      </c>
      <c r="E144" s="86">
        <f>(E114+E127+E143)</f>
        <v>2035041.7699999998</v>
      </c>
      <c r="F144" s="86">
        <f>(F114+F127+F143)</f>
        <v>70930.91</v>
      </c>
      <c r="G144" s="86">
        <f>(G114+G127+G143)</f>
        <v>283650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16</v>
      </c>
      <c r="D150" s="153">
        <f>'DOE25'!H489</f>
        <v>16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07/95</v>
      </c>
      <c r="C151" s="152" t="str">
        <f>'DOE25'!G490</f>
        <v>6/10</v>
      </c>
      <c r="D151" s="152" t="str">
        <f>'DOE25'!H490</f>
        <v>6/10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08/15</v>
      </c>
      <c r="C152" s="152" t="str">
        <f>'DOE25'!G491</f>
        <v>9/26</v>
      </c>
      <c r="D152" s="152" t="str">
        <f>'DOE25'!H491</f>
        <v>10/26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2585000</v>
      </c>
      <c r="C153" s="137">
        <f>'DOE25'!G492</f>
        <v>14506160</v>
      </c>
      <c r="D153" s="137">
        <f>'DOE25'!H492</f>
        <v>7493840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5.25</v>
      </c>
      <c r="C154" s="137" t="str">
        <f>'DOE25'!G493</f>
        <v>QSCB</v>
      </c>
      <c r="D154" s="137">
        <f>'DOE25'!H493</f>
        <v>3.51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1140000</v>
      </c>
      <c r="C155" s="137">
        <f>'DOE25'!G494</f>
        <v>13595000</v>
      </c>
      <c r="D155" s="137">
        <f>'DOE25'!H494</f>
        <v>6550000</v>
      </c>
      <c r="E155" s="137">
        <f>'DOE25'!I494</f>
        <v>0</v>
      </c>
      <c r="F155" s="137">
        <f>'DOE25'!J494</f>
        <v>0</v>
      </c>
      <c r="G155" s="138">
        <f>SUM(B155:F155)</f>
        <v>21285000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285000</v>
      </c>
      <c r="C157" s="137">
        <f>'DOE25'!G496</f>
        <v>910000</v>
      </c>
      <c r="D157" s="137">
        <f>'DOE25'!H496</f>
        <v>440000</v>
      </c>
      <c r="E157" s="137">
        <f>'DOE25'!I496</f>
        <v>0</v>
      </c>
      <c r="F157" s="137">
        <f>'DOE25'!J496</f>
        <v>0</v>
      </c>
      <c r="G157" s="138">
        <f t="shared" si="0"/>
        <v>1635000</v>
      </c>
    </row>
    <row r="158" spans="1:9" x14ac:dyDescent="0.2">
      <c r="A158" s="22" t="s">
        <v>35</v>
      </c>
      <c r="B158" s="137">
        <f>'DOE25'!F497</f>
        <v>855000</v>
      </c>
      <c r="C158" s="137">
        <f>'DOE25'!G497</f>
        <v>12685000</v>
      </c>
      <c r="D158" s="137">
        <f>'DOE25'!H497</f>
        <v>6110000</v>
      </c>
      <c r="E158" s="137">
        <f>'DOE25'!I497</f>
        <v>0</v>
      </c>
      <c r="F158" s="137">
        <f>'DOE25'!J497</f>
        <v>0</v>
      </c>
      <c r="G158" s="138">
        <f t="shared" si="0"/>
        <v>19650000</v>
      </c>
    </row>
    <row r="159" spans="1:9" x14ac:dyDescent="0.2">
      <c r="A159" s="22" t="s">
        <v>36</v>
      </c>
      <c r="B159" s="137">
        <f>'DOE25'!F498</f>
        <v>71962.509999999995</v>
      </c>
      <c r="C159" s="137">
        <f>'DOE25'!G498</f>
        <v>4781603.75</v>
      </c>
      <c r="D159" s="137">
        <f>'DOE25'!H498</f>
        <v>2005168.75</v>
      </c>
      <c r="E159" s="137">
        <f>'DOE25'!I498</f>
        <v>0</v>
      </c>
      <c r="F159" s="137">
        <f>'DOE25'!J498</f>
        <v>0</v>
      </c>
      <c r="G159" s="138">
        <f t="shared" si="0"/>
        <v>6858735.0099999998</v>
      </c>
    </row>
    <row r="160" spans="1:9" x14ac:dyDescent="0.2">
      <c r="A160" s="22" t="s">
        <v>37</v>
      </c>
      <c r="B160" s="137">
        <f>'DOE25'!F499</f>
        <v>926962.51</v>
      </c>
      <c r="C160" s="137">
        <f>'DOE25'!G499</f>
        <v>17466603.75</v>
      </c>
      <c r="D160" s="137">
        <f>'DOE25'!H499</f>
        <v>8115168.75</v>
      </c>
      <c r="E160" s="137">
        <f>'DOE25'!I499</f>
        <v>0</v>
      </c>
      <c r="F160" s="137">
        <f>'DOE25'!J499</f>
        <v>0</v>
      </c>
      <c r="G160" s="138">
        <f t="shared" si="0"/>
        <v>26508735.010000002</v>
      </c>
    </row>
    <row r="161" spans="1:7" x14ac:dyDescent="0.2">
      <c r="A161" s="22" t="s">
        <v>38</v>
      </c>
      <c r="B161" s="137">
        <f>'DOE25'!F500</f>
        <v>285000</v>
      </c>
      <c r="C161" s="137">
        <f>'DOE25'!G500</f>
        <v>910000</v>
      </c>
      <c r="D161" s="137">
        <f>'DOE25'!H500</f>
        <v>440000</v>
      </c>
      <c r="E161" s="137">
        <f>'DOE25'!I500</f>
        <v>0</v>
      </c>
      <c r="F161" s="137">
        <f>'DOE25'!J500</f>
        <v>0</v>
      </c>
      <c r="G161" s="138">
        <f t="shared" si="0"/>
        <v>1635000</v>
      </c>
    </row>
    <row r="162" spans="1:7" x14ac:dyDescent="0.2">
      <c r="A162" s="22" t="s">
        <v>39</v>
      </c>
      <c r="B162" s="137">
        <f>'DOE25'!F501</f>
        <v>39900</v>
      </c>
      <c r="C162" s="137">
        <f>'DOE25'!G501</f>
        <v>659197</v>
      </c>
      <c r="D162" s="137">
        <f>'DOE25'!H501</f>
        <v>258312.5</v>
      </c>
      <c r="E162" s="137">
        <f>'DOE25'!I501</f>
        <v>0</v>
      </c>
      <c r="F162" s="137">
        <f>'DOE25'!J501</f>
        <v>0</v>
      </c>
      <c r="G162" s="138">
        <f t="shared" si="0"/>
        <v>957409.5</v>
      </c>
    </row>
    <row r="163" spans="1:7" x14ac:dyDescent="0.2">
      <c r="A163" s="22" t="s">
        <v>246</v>
      </c>
      <c r="B163" s="137">
        <f>'DOE25'!F502</f>
        <v>324900</v>
      </c>
      <c r="C163" s="137">
        <f>'DOE25'!G502</f>
        <v>1569197</v>
      </c>
      <c r="D163" s="137">
        <f>'DOE25'!H502</f>
        <v>698312.5</v>
      </c>
      <c r="E163" s="137">
        <f>'DOE25'!I502</f>
        <v>0</v>
      </c>
      <c r="F163" s="137">
        <f>'DOE25'!J502</f>
        <v>0</v>
      </c>
      <c r="G163" s="138">
        <f t="shared" si="0"/>
        <v>2592409.5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C4" sqref="C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Salem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12776</v>
      </c>
    </row>
    <row r="5" spans="1:4" x14ac:dyDescent="0.2">
      <c r="B5" t="s">
        <v>704</v>
      </c>
      <c r="C5" s="179">
        <f>IF('DOE25'!G664+'DOE25'!G669=0,0,ROUND('DOE25'!G671,0))</f>
        <v>10695</v>
      </c>
    </row>
    <row r="6" spans="1:4" x14ac:dyDescent="0.2">
      <c r="B6" t="s">
        <v>62</v>
      </c>
      <c r="C6" s="179">
        <f>IF('DOE25'!H664+'DOE25'!H669=0,0,ROUND('DOE25'!H671,0))</f>
        <v>13092</v>
      </c>
    </row>
    <row r="7" spans="1:4" x14ac:dyDescent="0.2">
      <c r="B7" t="s">
        <v>705</v>
      </c>
      <c r="C7" s="179">
        <f>IF('DOE25'!I664+'DOE25'!I669=0,0,ROUND('DOE25'!I671,0))</f>
        <v>12383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23888604</v>
      </c>
      <c r="D10" s="182">
        <f>ROUND((C10/$C$28)*100,1)</f>
        <v>42.7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10446198</v>
      </c>
      <c r="D11" s="182">
        <f>ROUND((C11/$C$28)*100,1)</f>
        <v>18.7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1705336</v>
      </c>
      <c r="D12" s="182">
        <f>ROUND((C12/$C$28)*100,1)</f>
        <v>3.1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874238</v>
      </c>
      <c r="D13" s="182">
        <f>ROUND((C13/$C$28)*100,1)</f>
        <v>1.6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4483481</v>
      </c>
      <c r="D15" s="182">
        <f t="shared" ref="D15:D27" si="0">ROUND((C15/$C$28)*100,1)</f>
        <v>8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2164299</v>
      </c>
      <c r="D16" s="182">
        <f t="shared" si="0"/>
        <v>3.9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1407953</v>
      </c>
      <c r="D17" s="182">
        <f t="shared" si="0"/>
        <v>2.5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2750794</v>
      </c>
      <c r="D18" s="182">
        <f t="shared" si="0"/>
        <v>4.9000000000000004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442340</v>
      </c>
      <c r="D19" s="182">
        <f t="shared" si="0"/>
        <v>0.8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4012471</v>
      </c>
      <c r="D20" s="182">
        <f t="shared" si="0"/>
        <v>7.2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2469153</v>
      </c>
      <c r="D21" s="182">
        <f t="shared" si="0"/>
        <v>4.4000000000000004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367926</v>
      </c>
      <c r="D24" s="182">
        <f t="shared" si="0"/>
        <v>0.7</v>
      </c>
    </row>
    <row r="25" spans="1:4" x14ac:dyDescent="0.2">
      <c r="A25">
        <v>5120</v>
      </c>
      <c r="B25" t="s">
        <v>720</v>
      </c>
      <c r="C25" s="179">
        <f>ROUND('DOE25'!L260+'DOE25'!L341,0)</f>
        <v>327088</v>
      </c>
      <c r="D25" s="182">
        <f t="shared" si="0"/>
        <v>0.6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561284.87999999989</v>
      </c>
      <c r="D27" s="182">
        <f t="shared" si="0"/>
        <v>1</v>
      </c>
    </row>
    <row r="28" spans="1:4" x14ac:dyDescent="0.2">
      <c r="B28" s="187" t="s">
        <v>723</v>
      </c>
      <c r="C28" s="180">
        <f>SUM(C10:C27)</f>
        <v>55901165.880000003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629312</v>
      </c>
    </row>
    <row r="30" spans="1:4" x14ac:dyDescent="0.2">
      <c r="B30" s="187" t="s">
        <v>729</v>
      </c>
      <c r="C30" s="180">
        <f>SUM(C28:C29)</f>
        <v>56530477.880000003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1635000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38465963</v>
      </c>
      <c r="D35" s="182">
        <f t="shared" ref="D35:D40" si="1">ROUND((C35/$C$41)*100,1)</f>
        <v>65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1069935.1299999952</v>
      </c>
      <c r="D36" s="182">
        <f t="shared" si="1"/>
        <v>1.8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14411003</v>
      </c>
      <c r="D37" s="182">
        <f t="shared" si="1"/>
        <v>24.3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2160800</v>
      </c>
      <c r="D38" s="182">
        <f t="shared" si="1"/>
        <v>3.7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3069608</v>
      </c>
      <c r="D39" s="182">
        <f t="shared" si="1"/>
        <v>5.2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5741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59183050.129999995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Salem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2013-09-13T12:09:37Z</cp:lastPrinted>
  <dcterms:created xsi:type="dcterms:W3CDTF">1997-12-04T19:04:30Z</dcterms:created>
  <dcterms:modified xsi:type="dcterms:W3CDTF">2013-12-05T18:58:37Z</dcterms:modified>
</cp:coreProperties>
</file>