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3" i="1" l="1"/>
  <c r="F67" i="1"/>
  <c r="C19" i="12" l="1"/>
  <c r="C20" i="12"/>
  <c r="C12" i="12"/>
  <c r="C11" i="12"/>
  <c r="C10" i="12"/>
  <c r="B10" i="12"/>
  <c r="B19" i="12"/>
  <c r="F24" i="1"/>
  <c r="C39" i="12"/>
  <c r="C37" i="12"/>
  <c r="B39" i="12"/>
  <c r="B37" i="12"/>
  <c r="B12" i="12"/>
  <c r="B21" i="12"/>
  <c r="B20" i="12"/>
  <c r="H513" i="1"/>
  <c r="H512" i="1"/>
  <c r="H511" i="1"/>
  <c r="H510" i="1"/>
  <c r="H506" i="1"/>
  <c r="G515" i="1" l="1"/>
  <c r="F513" i="1"/>
  <c r="F512" i="1"/>
  <c r="G612" i="1" l="1"/>
  <c r="G567" i="1"/>
  <c r="H566" i="1"/>
  <c r="G566" i="1"/>
  <c r="F566" i="1"/>
  <c r="H563" i="1"/>
  <c r="H562" i="1"/>
  <c r="H561" i="1"/>
  <c r="H521" i="1" l="1"/>
  <c r="H522" i="1"/>
  <c r="H520" i="1"/>
  <c r="G522" i="1"/>
  <c r="G521" i="1"/>
  <c r="G520" i="1"/>
  <c r="F522" i="1"/>
  <c r="F521" i="1"/>
  <c r="F520" i="1"/>
  <c r="K530" i="1"/>
  <c r="I531" i="1"/>
  <c r="I530" i="1"/>
  <c r="H532" i="1"/>
  <c r="H531" i="1"/>
  <c r="H530" i="1"/>
  <c r="H535" i="1"/>
  <c r="G532" i="1"/>
  <c r="G531" i="1"/>
  <c r="G530" i="1"/>
  <c r="F532" i="1"/>
  <c r="F531" i="1"/>
  <c r="F530" i="1"/>
  <c r="G525" i="1"/>
  <c r="F525" i="1"/>
  <c r="G527" i="1"/>
  <c r="G526" i="1"/>
  <c r="F526" i="1"/>
  <c r="F527" i="1"/>
  <c r="J520" i="1"/>
  <c r="J521" i="1"/>
  <c r="I522" i="1"/>
  <c r="I521" i="1"/>
  <c r="I520" i="1"/>
  <c r="J522" i="1"/>
  <c r="I590" i="1"/>
  <c r="I232" i="1"/>
  <c r="H243" i="1"/>
  <c r="I593" i="1"/>
  <c r="H542" i="1"/>
  <c r="H541" i="1"/>
  <c r="H540" i="1"/>
  <c r="J603" i="1"/>
  <c r="I603" i="1"/>
  <c r="H603" i="1"/>
  <c r="I591" i="1"/>
  <c r="H581" i="1"/>
  <c r="H579" i="1"/>
  <c r="H583" i="1"/>
  <c r="H574" i="1"/>
  <c r="F581" i="1"/>
  <c r="F579" i="1"/>
  <c r="J594" i="1"/>
  <c r="I594" i="1"/>
  <c r="J593" i="1"/>
  <c r="J591" i="1"/>
  <c r="H591" i="1"/>
  <c r="I196" i="1"/>
  <c r="I214" i="1"/>
  <c r="H242" i="1"/>
  <c r="I242" i="1"/>
  <c r="J242" i="1"/>
  <c r="J241" i="1"/>
  <c r="H241" i="1"/>
  <c r="I239" i="1"/>
  <c r="H239" i="1"/>
  <c r="G238" i="1"/>
  <c r="J235" i="1"/>
  <c r="J232" i="1"/>
  <c r="H232" i="1"/>
  <c r="K232" i="1"/>
  <c r="J224" i="1"/>
  <c r="H224" i="1"/>
  <c r="I224" i="1"/>
  <c r="J223" i="1"/>
  <c r="H223" i="1"/>
  <c r="H220" i="1"/>
  <c r="I220" i="1"/>
  <c r="G220" i="1"/>
  <c r="I219" i="1"/>
  <c r="J217" i="1"/>
  <c r="J215" i="1"/>
  <c r="J214" i="1"/>
  <c r="H214" i="1"/>
  <c r="K214" i="1"/>
  <c r="H254" i="1"/>
  <c r="H206" i="1"/>
  <c r="I206" i="1"/>
  <c r="J206" i="1"/>
  <c r="J205" i="1"/>
  <c r="H205" i="1"/>
  <c r="H204" i="1"/>
  <c r="H203" i="1"/>
  <c r="H202" i="1"/>
  <c r="I202" i="1"/>
  <c r="G202" i="1"/>
  <c r="J197" i="1"/>
  <c r="I197" i="1"/>
  <c r="J196" i="1"/>
  <c r="H196" i="1"/>
  <c r="K196" i="1"/>
  <c r="H235" i="1"/>
  <c r="H221" i="1"/>
  <c r="I275" i="1"/>
  <c r="H313" i="1"/>
  <c r="J294" i="1"/>
  <c r="H294" i="1"/>
  <c r="H275" i="1"/>
  <c r="J275" i="1"/>
  <c r="H664" i="1"/>
  <c r="G664" i="1"/>
  <c r="F664" i="1"/>
  <c r="H158" i="1"/>
  <c r="H154" i="1"/>
  <c r="H153" i="1"/>
  <c r="G13" i="1"/>
  <c r="H47" i="1"/>
  <c r="H13" i="1"/>
  <c r="H22" i="1"/>
  <c r="F109" i="1"/>
  <c r="F117" i="1"/>
  <c r="F14" i="1"/>
  <c r="F12" i="1"/>
  <c r="F9" i="1"/>
  <c r="G471" i="1" l="1"/>
  <c r="H367" i="1"/>
  <c r="G367" i="1"/>
  <c r="F367" i="1"/>
  <c r="F501" i="1" l="1"/>
  <c r="F498" i="1" s="1"/>
  <c r="F500" i="1"/>
  <c r="F497" i="1"/>
  <c r="F496" i="1"/>
  <c r="H396" i="1"/>
  <c r="G458" i="1" l="1"/>
  <c r="G439" i="1"/>
  <c r="H48" i="1"/>
  <c r="F48" i="1"/>
  <c r="F31" i="1"/>
  <c r="C37" i="10" l="1"/>
  <c r="F40" i="2" l="1"/>
  <c r="G654" i="1"/>
  <c r="F47" i="2"/>
  <c r="E47" i="2"/>
  <c r="D47" i="2"/>
  <c r="C47" i="2"/>
  <c r="F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C17" i="10" s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C15" i="10" s="1"/>
  <c r="L237" i="1"/>
  <c r="F7" i="13"/>
  <c r="G7" i="13"/>
  <c r="L202" i="1"/>
  <c r="L220" i="1"/>
  <c r="L238" i="1"/>
  <c r="F12" i="13"/>
  <c r="G12" i="13"/>
  <c r="D12" i="13" s="1"/>
  <c r="C12" i="13" s="1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400" i="1" s="1"/>
  <c r="C138" i="2" s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H168" i="1" s="1"/>
  <c r="I146" i="1"/>
  <c r="I161" i="1"/>
  <c r="C10" i="10"/>
  <c r="C11" i="10"/>
  <c r="C12" i="10"/>
  <c r="C13" i="10"/>
  <c r="C16" i="10"/>
  <c r="C18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E119" i="2"/>
  <c r="C120" i="2"/>
  <c r="E120" i="2"/>
  <c r="C121" i="2"/>
  <c r="E121" i="2"/>
  <c r="C122" i="2"/>
  <c r="E122" i="2"/>
  <c r="C123" i="2"/>
  <c r="E123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F32" i="1"/>
  <c r="F49" i="1" s="1"/>
  <c r="G32" i="1"/>
  <c r="G40" i="1" s="1"/>
  <c r="D39" i="2" s="1"/>
  <c r="D49" i="2" s="1"/>
  <c r="H32" i="1"/>
  <c r="I32" i="1"/>
  <c r="G50" i="1"/>
  <c r="G51" i="1" s="1"/>
  <c r="H617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J95" i="1" s="1"/>
  <c r="J110" i="1" s="1"/>
  <c r="J111" i="1" s="1"/>
  <c r="I400" i="1"/>
  <c r="F406" i="1"/>
  <c r="G406" i="1"/>
  <c r="H406" i="1"/>
  <c r="I406" i="1"/>
  <c r="F407" i="1"/>
  <c r="G407" i="1"/>
  <c r="H407" i="1"/>
  <c r="J467" i="1" s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I469" i="1"/>
  <c r="J469" i="1"/>
  <c r="G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4" i="1"/>
  <c r="H629" i="1"/>
  <c r="H630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J643" i="1" s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K256" i="1"/>
  <c r="K270" i="1" s="1"/>
  <c r="G256" i="1"/>
  <c r="G270" i="1" s="1"/>
  <c r="G163" i="2"/>
  <c r="G159" i="2"/>
  <c r="F31" i="2"/>
  <c r="C26" i="10"/>
  <c r="L327" i="1"/>
  <c r="L350" i="1"/>
  <c r="I661" i="1"/>
  <c r="L289" i="1"/>
  <c r="A31" i="12"/>
  <c r="C69" i="2"/>
  <c r="G161" i="2"/>
  <c r="D61" i="2"/>
  <c r="D62" i="2" s="1"/>
  <c r="D18" i="13"/>
  <c r="C18" i="13" s="1"/>
  <c r="D15" i="13"/>
  <c r="C15" i="13" s="1"/>
  <c r="D7" i="13"/>
  <c r="C7" i="13" s="1"/>
  <c r="F102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G551" i="1"/>
  <c r="J642" i="1"/>
  <c r="I475" i="1"/>
  <c r="H624" i="1" s="1"/>
  <c r="J624" i="1" s="1"/>
  <c r="G337" i="1"/>
  <c r="G351" i="1" s="1"/>
  <c r="F168" i="1"/>
  <c r="J139" i="1"/>
  <c r="F570" i="1"/>
  <c r="I551" i="1"/>
  <c r="K548" i="1"/>
  <c r="K549" i="1"/>
  <c r="G22" i="2"/>
  <c r="K544" i="1"/>
  <c r="J551" i="1"/>
  <c r="H551" i="1"/>
  <c r="C29" i="10"/>
  <c r="I660" i="1"/>
  <c r="H139" i="1"/>
  <c r="L392" i="1"/>
  <c r="A13" i="12"/>
  <c r="F22" i="13"/>
  <c r="H25" i="13"/>
  <c r="C25" i="13" s="1"/>
  <c r="J639" i="1"/>
  <c r="J633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J654" i="1"/>
  <c r="J644" i="1"/>
  <c r="L569" i="1"/>
  <c r="I570" i="1"/>
  <c r="I544" i="1"/>
  <c r="J635" i="1"/>
  <c r="G36" i="2"/>
  <c r="G544" i="1"/>
  <c r="L544" i="1"/>
  <c r="H544" i="1"/>
  <c r="K550" i="1"/>
  <c r="K551" i="1" s="1"/>
  <c r="C22" i="13"/>
  <c r="C137" i="2"/>
  <c r="A40" i="12" l="1"/>
  <c r="H570" i="1"/>
  <c r="L564" i="1"/>
  <c r="K597" i="1"/>
  <c r="G646" i="1" s="1"/>
  <c r="J646" i="1" s="1"/>
  <c r="J650" i="1"/>
  <c r="J648" i="1"/>
  <c r="C19" i="10"/>
  <c r="C20" i="10"/>
  <c r="C108" i="2"/>
  <c r="C114" i="2" s="1"/>
  <c r="J475" i="1"/>
  <c r="H625" i="1" s="1"/>
  <c r="H256" i="1"/>
  <c r="H270" i="1" s="1"/>
  <c r="E31" i="2"/>
  <c r="G616" i="1"/>
  <c r="C80" i="2"/>
  <c r="L210" i="1"/>
  <c r="F659" i="1" s="1"/>
  <c r="F663" i="1" s="1"/>
  <c r="C119" i="2"/>
  <c r="C124" i="2"/>
  <c r="E16" i="13"/>
  <c r="E144" i="2"/>
  <c r="D5" i="13"/>
  <c r="C5" i="13" s="1"/>
  <c r="H659" i="1"/>
  <c r="H663" i="1" s="1"/>
  <c r="H666" i="1" s="1"/>
  <c r="H33" i="13"/>
  <c r="I256" i="1"/>
  <c r="I270" i="1" s="1"/>
  <c r="L228" i="1"/>
  <c r="C61" i="2"/>
  <c r="C62" i="2" s="1"/>
  <c r="C103" i="2" s="1"/>
  <c r="C18" i="2"/>
  <c r="L337" i="1"/>
  <c r="L351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D31" i="13" s="1"/>
  <c r="C31" i="13" s="1"/>
  <c r="J192" i="1"/>
  <c r="G645" i="1" s="1"/>
  <c r="F103" i="2"/>
  <c r="H192" i="1"/>
  <c r="G168" i="1"/>
  <c r="C39" i="10" s="1"/>
  <c r="G139" i="1"/>
  <c r="F139" i="1"/>
  <c r="F192" i="1" s="1"/>
  <c r="C36" i="10"/>
  <c r="G62" i="2"/>
  <c r="G103" i="2" s="1"/>
  <c r="J617" i="1"/>
  <c r="G42" i="2"/>
  <c r="J50" i="1"/>
  <c r="G16" i="2"/>
  <c r="J19" i="1"/>
  <c r="G620" i="1" s="1"/>
  <c r="F33" i="13"/>
  <c r="G18" i="2"/>
  <c r="F544" i="1"/>
  <c r="H433" i="1"/>
  <c r="J619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J651" i="1"/>
  <c r="J641" i="1"/>
  <c r="G570" i="1"/>
  <c r="I433" i="1"/>
  <c r="G433" i="1"/>
  <c r="E103" i="2"/>
  <c r="I662" i="1"/>
  <c r="C27" i="10"/>
  <c r="C28" i="10" s="1"/>
  <c r="G634" i="1"/>
  <c r="J634" i="1" s="1"/>
  <c r="C127" i="2" l="1"/>
  <c r="C144" i="2" s="1"/>
  <c r="G632" i="1"/>
  <c r="H471" i="1"/>
  <c r="F50" i="1"/>
  <c r="C48" i="2"/>
  <c r="C49" i="2" s="1"/>
  <c r="C50" i="2" s="1"/>
  <c r="G626" i="1"/>
  <c r="F467" i="1"/>
  <c r="F671" i="1"/>
  <c r="C4" i="10" s="1"/>
  <c r="F666" i="1"/>
  <c r="L256" i="1"/>
  <c r="L270" i="1" s="1"/>
  <c r="E46" i="2"/>
  <c r="E49" i="2" s="1"/>
  <c r="E50" i="2" s="1"/>
  <c r="H50" i="1"/>
  <c r="E33" i="13"/>
  <c r="D35" i="13" s="1"/>
  <c r="C16" i="13"/>
  <c r="H671" i="1"/>
  <c r="C6" i="10" s="1"/>
  <c r="G628" i="1"/>
  <c r="H467" i="1"/>
  <c r="G659" i="1"/>
  <c r="G663" i="1" s="1"/>
  <c r="G666" i="1" s="1"/>
  <c r="G630" i="1"/>
  <c r="J630" i="1" s="1"/>
  <c r="D33" i="13"/>
  <c r="D36" i="13" s="1"/>
  <c r="J645" i="1"/>
  <c r="G192" i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H632" i="1" l="1"/>
  <c r="J632" i="1" s="1"/>
  <c r="H473" i="1"/>
  <c r="G631" i="1"/>
  <c r="F471" i="1"/>
  <c r="G627" i="1"/>
  <c r="G467" i="1"/>
  <c r="F51" i="1"/>
  <c r="H616" i="1" s="1"/>
  <c r="J616" i="1" s="1"/>
  <c r="G621" i="1"/>
  <c r="F469" i="1"/>
  <c r="H626" i="1"/>
  <c r="J626" i="1" s="1"/>
  <c r="H51" i="1"/>
  <c r="H618" i="1" s="1"/>
  <c r="J618" i="1" s="1"/>
  <c r="G623" i="1"/>
  <c r="H469" i="1"/>
  <c r="H475" i="1" s="1"/>
  <c r="H623" i="1" s="1"/>
  <c r="H628" i="1"/>
  <c r="J628" i="1" s="1"/>
  <c r="I659" i="1"/>
  <c r="I663" i="1" s="1"/>
  <c r="I671" i="1" s="1"/>
  <c r="C7" i="10" s="1"/>
  <c r="G671" i="1"/>
  <c r="C5" i="10" s="1"/>
  <c r="D28" i="10"/>
  <c r="C41" i="10"/>
  <c r="D38" i="10" s="1"/>
  <c r="F473" i="1" l="1"/>
  <c r="F475" i="1" s="1"/>
  <c r="H621" i="1" s="1"/>
  <c r="H631" i="1"/>
  <c r="J631" i="1" s="1"/>
  <c r="J623" i="1"/>
  <c r="G469" i="1"/>
  <c r="G475" i="1" s="1"/>
  <c r="H622" i="1" s="1"/>
  <c r="J622" i="1" s="1"/>
  <c r="H627" i="1"/>
  <c r="J627" i="1"/>
  <c r="I666" i="1"/>
  <c r="D37" i="10"/>
  <c r="D36" i="10"/>
  <c r="D35" i="10"/>
  <c r="D40" i="10"/>
  <c r="D39" i="10"/>
  <c r="J621" i="1" l="1"/>
  <c r="H655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<sst xmlns="http://schemas.openxmlformats.org/spreadsheetml/2006/main" count="3948" uniqueCount="912">
  <si>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</si>
  <si>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</si>
  <si>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</si>
  <si>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</si>
  <si>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</si>
  <si>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</si>
  <si>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</si>
  <si>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</si>
  <si>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</si>
  <si>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</si>
  <si>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</si>
  <si>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</si>
  <si>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</si>
  <si>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</si>
  <si>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</si>
  <si>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</si>
  <si>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</si>
  <si>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</si>
  <si>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</si>
  <si>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</si>
  <si>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</si>
  <si>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</si>
  <si>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</si>
  <si>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</si>
  <si>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</si>
  <si>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</si>
  <si>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</si>
  <si>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</si>
  <si>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</si>
  <si>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</si>
  <si>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</si>
  <si>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</si>
  <si>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</si>
  <si>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</si>
  <si>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</si>
  <si>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</si>
  <si>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</si>
  <si>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</si>
  <si>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</si>
  <si>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</si>
  <si>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</si>
  <si>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</si>
  <si>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</si>
  <si>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</si>
  <si>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</si>
  <si>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</si>
  <si>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</si>
  <si>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</si>
  <si>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</si>
  <si>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</si>
  <si>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</si>
  <si>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</si>
  <si>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</si>
  <si>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</si>
  <si>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</si>
  <si>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</si>
  <si>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</si>
  <si>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</si>
  <si>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</si>
  <si>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</si>
  <si>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</si>
  <si>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</si>
  <si>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</si>
  <si>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</si>
  <si>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</si>
  <si>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</si>
  <si>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</si>
  <si>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</si>
  <si>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</si>
  <si>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</si>
  <si>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</si>
  <si>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</si>
  <si>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</si>
  <si>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</si>
  <si>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</si>
  <si>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</si>
  <si>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</si>
  <si>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</si>
  <si>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</si>
  <si>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</si>
  <si>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</si>
  <si>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</si>
  <si>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</si>
  <si>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</si>
  <si>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</si>
  <si>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</si>
  <si>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</si>
  <si>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</si>
  <si>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</si>
  <si>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</si>
  <si>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</si>
  <si>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</si>
  <si>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</si>
  <si>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</si>
  <si>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</si>
  <si>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</si>
  <si>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</si>
  <si>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</si>
  <si>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</si>
  <si>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</si>
  <si>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</si>
  <si>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</si>
  <si>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</si>
  <si>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</si>
  <si>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</si>
  <si>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</si>
  <si>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</si>
  <si>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</si>
  <si>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</si>
  <si>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</si>
  <si>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</si>
  <si>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</si>
  <si>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</si>
  <si>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</si>
  <si>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</si>
  <si>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</si>
  <si>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</si>
  <si>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</si>
  <si>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</si>
  <si>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</si>
  <si>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</si>
  <si>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</si>
  <si>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</si>
  <si>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</si>
  <si>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</si>
  <si>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</si>
  <si>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</si>
  <si>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</si>
  <si>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</si>
  <si>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</si>
  <si>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</si>
  <si>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</si>
  <si>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</si>
  <si>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</si>
  <si>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</si>
  <si>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</si>
  <si>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</si>
  <si>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</si>
  <si>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</si>
  <si>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</si>
  <si>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</si>
  <si>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</si>
  <si>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</si>
  <si>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</si>
  <si>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</si>
  <si>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</si>
  <si>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</si>
  <si>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</si>
  <si>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</si>
  <si>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</si>
  <si>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</si>
  <si>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</si>
  <si>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</si>
  <si>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</si>
  <si>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</si>
  <si>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</si>
  <si>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</si>
  <si>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</si>
  <si>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</si>
  <si>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</si>
  <si>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</si>
  <si>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</si>
  <si>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</si>
  <si>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</si>
  <si>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</si>
  <si>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</si>
  <si>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</si>
  <si>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</si>
  <si>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</si>
  <si>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</si>
  <si>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</si>
  <si>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</si>
  <si>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</si>
  <si>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</si>
  <si>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</si>
  <si>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</si>
  <si>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</si>
  <si>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</si>
  <si>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</si>
  <si>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</si>
  <si>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</si>
  <si>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</si>
  <si>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</si>
  <si>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</si>
  <si>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</si>
  <si>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</si>
  <si>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</si>
  <si>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</si>
  <si>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</si>
  <si>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</si>
  <si>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</si>
  <si>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</si>
  <si>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</si>
  <si>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</si>
  <si>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</si>
  <si>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</si>
  <si>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</si>
  <si>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</si>
  <si>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</si>
  <si>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</si>
  <si>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</si>
  <si>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</si>
  <si>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</si>
  <si>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</si>
  <si>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</si>
  <si>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</si>
  <si>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</si>
  <si>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</si>
  <si>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</si>
  <si>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</si>
  <si>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</si>
  <si>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</si>
  <si>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</si>
  <si>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</si>
  <si>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</si>
  <si>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</si>
  <si>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</si>
  <si>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</si>
  <si>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</si>
  <si>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</si>
  <si>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</si>
  <si>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</si>
  <si>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</si>
  <si>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</si>
  <si>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</si>
  <si>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</si>
  <si>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</si>
  <si>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</si>
  <si>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</si>
  <si>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</si>
  <si>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</si>
  <si>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</si>
  <si>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</si>
  <si>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</si>
  <si>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</si>
  <si>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</si>
  <si>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</si>
  <si>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</si>
  <si>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</si>
  <si>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</si>
  <si>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</si>
  <si>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</si>
  <si>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</si>
  <si>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</si>
  <si>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</si>
  <si>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</si>
  <si>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</si>
  <si>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</si>
  <si>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</si>
  <si>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</si>
  <si>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</si>
  <si>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</si>
  <si>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</si>
  <si>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</si>
  <si>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</si>
  <si>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</si>
  <si>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</si>
  <si>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</si>
  <si>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</si>
  <si>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</si>
  <si>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</si>
  <si>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</si>
  <si>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</si>
  <si>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</si>
  <si>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</si>
  <si>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</si>
  <si>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</si>
  <si>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</si>
  <si>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</si>
  <si>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</si>
  <si>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</si>
  <si>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</si>
  <si>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</si>
  <si>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</si>
  <si>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</si>
  <si>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</si>
  <si>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</si>
  <si>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</si>
  <si>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</si>
  <si>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</si>
  <si>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</si>
  <si>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</si>
  <si>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</si>
  <si>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</si>
  <si>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</si>
  <si>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</si>
  <si>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</si>
  <si>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</si>
  <si>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</si>
  <si>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</si>
  <si>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</si>
  <si>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</si>
  <si>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</si>
  <si>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</si>
  <si>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</si>
  <si>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</si>
  <si>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</si>
  <si>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</si>
  <si>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</si>
  <si>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</si>
  <si>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</si>
  <si>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</si>
  <si>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</si>
  <si>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</si>
  <si>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</si>
  <si>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</si>
  <si>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</si>
  <si>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</si>
  <si>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</si>
  <si>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</si>
  <si>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</si>
  <si>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</si>
  <si>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</si>
  <si>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</si>
  <si>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</si>
  <si>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</si>
  <si>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</si>
  <si>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</si>
  <si>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</si>
  <si>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</si>
  <si>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</si>
  <si>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</si>
  <si>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</si>
  <si>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</si>
  <si>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</si>
  <si>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</si>
  <si>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</si>
  <si>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</si>
  <si>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</si>
  <si>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</si>
  <si>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</si>
  <si>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</si>
  <si>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</si>
  <si>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</si>
  <si>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</si>
  <si>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</si>
  <si>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</si>
  <si>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</si>
  <si>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</si>
  <si>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</si>
  <si>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</si>
  <si>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</si>
  <si>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</si>
  <si>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</si>
  <si>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</si>
  <si>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</si>
  <si>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</si>
  <si>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</si>
  <si>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</si>
  <si>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</si>
  <si>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</si>
  <si>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</si>
  <si>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</si>
  <si>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</si>
  <si>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</si>
  <si>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</si>
  <si>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</si>
  <si>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</si>
  <si>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</si>
  <si>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</si>
  <si>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</si>
  <si>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</si>
  <si>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</si>
  <si>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</si>
  <si>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</si>
  <si>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</si>
  <si>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</si>
  <si>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</si>
  <si>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</si>
  <si>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</si>
  <si>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</si>
  <si>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</si>
  <si>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</si>
  <si>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</si>
  <si>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</si>
  <si>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</si>
  <si>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</si>
  <si>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</si>
  <si>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</si>
  <si>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</si>
  <si>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</si>
  <si>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</si>
  <si>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</si>
  <si>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</si>
  <si>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</si>
  <si>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</si>
  <si>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</si>
  <si>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</si>
  <si>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</si>
  <si>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</si>
  <si>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</si>
  <si>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</si>
  <si>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</si>
  <si>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</si>
  <si>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</si>
  <si>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</si>
  <si>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</si>
  <si>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</si>
  <si>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</si>
  <si>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</si>
  <si>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</si>
  <si>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</si>
  <si>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</si>
  <si>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</si>
  <si>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</si>
  <si>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</si>
  <si>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</si>
  <si>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</si>
  <si>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</si>
  <si>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</si>
  <si>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</si>
  <si>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</si>
  <si>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</si>
  <si>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</si>
  <si>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</si>
  <si>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</si>
  <si>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</si>
  <si>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</si>
  <si>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</si>
  <si>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</si>
  <si>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</si>
  <si>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</si>
  <si>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</si>
  <si>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</si>
  <si>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</si>
  <si>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</si>
  <si>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</si>
  <si>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</si>
  <si>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</si>
  <si>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</si>
  <si>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</si>
  <si>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</si>
  <si>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</si>
  <si>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</si>
  <si>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</si>
  <si>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</si>
  <si>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</si>
  <si>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</si>
  <si>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</si>
  <si>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</si>
  <si>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</si>
  <si>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</si>
  <si>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</si>
  <si>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</si>
  <si>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</si>
  <si>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</si>
  <si>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</si>
  <si>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</si>
  <si>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</si>
  <si>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</si>
  <si>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</si>
  <si>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</si>
  <si>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</si>
  <si>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</si>
  <si>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</si>
  <si>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</si>
  <si>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</si>
  <si>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</si>
  <si>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</si>
  <si>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</si>
  <si>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</si>
  <si>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</si>
  <si>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</si>
  <si>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</si>
  <si>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</si>
  <si>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</si>
  <si>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</si>
  <si>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</si>
  <si>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</si>
  <si>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</si>
  <si>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</si>
  <si>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</si>
  <si>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</si>
  <si>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</si>
  <si>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</si>
  <si>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</si>
  <si>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</si>
  <si>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</si>
  <si>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</si>
  <si>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</si>
  <si>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</si>
  <si>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</si>
  <si>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</si>
  <si>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</si>
  <si>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</si>
  <si>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</si>
  <si>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</si>
  <si>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</si>
  <si>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</si>
  <si>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</si>
  <si>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</si>
  <si>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</si>
  <si>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</si>
  <si>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</si>
  <si>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</si>
  <si>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</si>
  <si>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</si>
  <si>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</si>
  <si>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</si>
  <si>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</si>
  <si>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</si>
  <si>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</si>
  <si>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</si>
  <si>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</si>
  <si>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</si>
  <si>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</si>
  <si>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</si>
  <si>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</si>
  <si>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</si>
  <si>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</si>
  <si>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</si>
  <si>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</si>
  <si>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</si>
  <si>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</si>
  <si>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</si>
  <si>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</si>
  <si>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</si>
  <si>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</si>
  <si>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</si>
  <si>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</si>
  <si>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</si>
  <si>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</si>
  <si>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</si>
  <si>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</si>
  <si>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</si>
  <si>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</si>
  <si>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</si>
  <si>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</si>
  <si>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</si>
  <si>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</si>
  <si>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</si>
  <si>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</si>
  <si>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</si>
  <si>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</si>
  <si>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</si>
  <si>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</si>
  <si>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</si>
  <si>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</si>
  <si>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</si>
  <si>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</si>
  <si>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</si>
  <si>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</si>
  <si>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</si>
  <si>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</si>
  <si>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</si>
  <si>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</si>
  <si>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</si>
  <si>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</si>
  <si>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</si>
  <si>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</si>
  <si>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</si>
  <si>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</si>
  <si>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</si>
  <si>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</si>
  <si>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</si>
  <si>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</si>
  <si>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</si>
  <si>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</si>
  <si>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</si>
  <si>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</si>
  <si>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</si>
  <si>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</si>
  <si>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</si>
  <si>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</si>
  <si>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</si>
  <si>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</si>
  <si>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</si>
  <si>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</si>
  <si>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</si>
  <si>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</si>
  <si>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</si>
  <si>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</si>
  <si>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</si>
  <si>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</si>
  <si>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</si>
  <si>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</si>
  <si>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</si>
  <si>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</si>
  <si>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</si>
  <si>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</si>
  <si>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</si>
  <si>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</si>
  <si>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</si>
  <si>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</si>
  <si>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</si>
  <si>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</si>
  <si>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</si>
  <si>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</si>
  <si>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</si>
  <si>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</si>
  <si>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</si>
  <si>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</si>
  <si>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</si>
  <si>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</si>
  <si>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</si>
  <si>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</si>
  <si>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</si>
  <si>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</si>
  <si>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</si>
  <si>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</si>
  <si>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</si>
  <si>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</si>
  <si>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</si>
  <si>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</si>
  <si>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</si>
  <si>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</si>
  <si>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</si>
  <si>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</si>
  <si>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</si>
  <si>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</si>
  <si>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</si>
  <si>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</si>
  <si>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</si>
  <si>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</si>
  <si>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</si>
  <si>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</si>
  <si>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</si>
  <si>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</si>
  <si>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</si>
  <si>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</si>
  <si>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</si>
  <si>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</si>
  <si>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</si>
  <si>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</si>
  <si>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</si>
  <si>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</si>
  <si>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</si>
  <si>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</si>
  <si>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</si>
  <si>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</si>
  <si>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</si>
  <si>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</si>
  <si>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</si>
  <si>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</si>
  <si>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</si>
  <si>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</si>
  <si>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</si>
  <si>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</si>
  <si>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</si>
  <si>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</si>
  <si>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</si>
  <si>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</si>
  <si>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</si>
  <si>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</si>
  <si>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</si>
  <si>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</si>
  <si>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</si>
  <si>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</si>
  <si>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</si>
  <si>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</si>
  <si>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</si>
  <si>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</si>
  <si>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</si>
  <si>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</si>
  <si>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</si>
  <si>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</si>
  <si>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</si>
  <si>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</si>
  <si>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</si>
  <si>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</si>
  <si>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</si>
  <si>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</si>
  <si>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</si>
  <si>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</si>
  <si>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</si>
  <si>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</si>
  <si>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</si>
  <si>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</si>
  <si>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</si>
  <si>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</si>
  <si>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</si>
  <si>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</si>
  <si>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</si>
  <si>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</si>
  <si>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</si>
  <si>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</si>
  <si>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</si>
  <si>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</si>
  <si>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</si>
  <si>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</si>
  <si>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</si>
  <si>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</si>
  <si>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</si>
  <si>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</si>
  <si>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</si>
  <si>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</si>
  <si>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</si>
  <si>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</si>
  <si>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</si>
  <si>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</si>
  <si>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</si>
  <si>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</si>
  <si>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</si>
  <si>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</si>
  <si>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</si>
  <si>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</si>
  <si>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</si>
  <si>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</si>
  <si>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</si>
  <si>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</si>
  <si>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</si>
  <si>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</si>
  <si>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</si>
  <si>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</si>
  <si>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</si>
  <si>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</si>
  <si>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</si>
  <si>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</si>
  <si>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</si>
  <si>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</si>
  <si>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</si>
  <si>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</si>
  <si>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</si>
  <si>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</si>
  <si>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</si>
  <si>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</si>
  <si>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</si>
  <si>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</si>
  <si>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</si>
  <si>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</si>
  <si>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</si>
  <si>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</si>
  <si>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</si>
  <si>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</si>
  <si>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</si>
  <si>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</si>
  <si>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</si>
  <si>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</si>
  <si>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</si>
  <si>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</si>
  <si>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</si>
  <si>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</si>
  <si>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</si>
  <si>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</si>
  <si>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</si>
  <si>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</si>
  <si>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</si>
  <si>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</si>
  <si>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</si>
  <si>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</si>
  <si>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</si>
  <si>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</si>
  <si>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</si>
  <si>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</si>
  <si>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</si>
  <si>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</si>
  <si>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</si>
  <si>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</si>
  <si>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</si>
  <si>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</si>
  <si>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</si>
  <si>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</si>
  <si>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</si>
  <si>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</si>
  <si>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</si>
  <si>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</si>
  <si>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</si>
  <si>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</si>
  <si>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</si>
  <si>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</si>
  <si>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</si>
  <si>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</si>
  <si>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</si>
  <si>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</si>
  <si>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</si>
  <si>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</si>
  <si>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</si>
  <si>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</si>
  <si>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</si>
  <si>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</si>
  <si>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</si>
  <si>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</si>
  <si>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</si>
  <si>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</si>
  <si>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</si>
  <si>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</si>
  <si>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</si>
  <si>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</si>
  <si>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</si>
  <si>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</si>
  <si>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</si>
  <si>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</si>
  <si>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</si>
  <si>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</si>
  <si>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</si>
  <si>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</si>
  <si>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</si>
  <si>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</si>
  <si>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</si>
  <si>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</si>
  <si>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</si>
  <si>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</si>
  <si>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</si>
  <si>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</si>
  <si>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</si>
  <si>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</si>
  <si>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</si>
  <si>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</si>
  <si>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</si>
  <si>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</si>
  <si>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</si>
  <si>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</si>
  <si>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</si>
  <si>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</si>
  <si>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</si>
  <si>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</si>
  <si>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</si>
  <si>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</si>
  <si>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</si>
  <si>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</si>
  <si>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</si>
  <si>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</si>
  <si>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</si>
  <si>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</si>
  <si>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</si>
  <si>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</si>
  <si>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</si>
  <si>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</si>
  <si>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</si>
  <si>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</si>
  <si>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</si>
  <si>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</si>
  <si>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</si>
  <si>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</si>
  <si>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</si>
  <si>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</si>
  <si>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</si>
  <si>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</si>
  <si>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</si>
  <si>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</si>
  <si>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</si>
  <si>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</si>
  <si>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</si>
  <si>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</si>
  <si>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</si>
  <si>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</si>
  <si>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</si>
  <si>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</si>
  <si>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</si>
  <si>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</si>
  <si>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</si>
  <si>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</si>
  <si>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</si>
  <si>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</si>
  <si>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</si>
  <si>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</si>
  <si>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</si>
  <si>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</si>
  <si>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</si>
  <si>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</si>
  <si>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</si>
  <si>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</si>
  <si>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</si>
  <si>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</si>
  <si>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</si>
  <si>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</si>
  <si>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</si>
  <si>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</si>
  <si>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</si>
  <si>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</si>
  <si>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</si>
  <si>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</si>
  <si>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</si>
  <si>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</si>
  <si>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</si>
  <si>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</si>
  <si>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</si>
  <si>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</si>
  <si>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</si>
  <si>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</si>
  <si>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</si>
  <si>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</si>
  <si>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</si>
  <si>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</si>
  <si>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</si>
  <si>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</si>
  <si>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</si>
  <si>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</si>
  <si>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</si>
  <si>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</si>
  <si>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</si>
  <si>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</si>
  <si>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</si>
  <si>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</si>
  <si>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</si>
  <si>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</si>
  <si>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</si>
  <si>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</si>
  <si>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</si>
  <si>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</si>
  <si>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</si>
  <si>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</si>
  <si>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</si>
  <si>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</si>
  <si>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</si>
  <si>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</si>
  <si>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</si>
  <si>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</si>
  <si>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</si>
  <si>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</si>
  <si>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</si>
  <si>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</si>
  <si>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</si>
  <si>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</si>
  <si>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</si>
  <si>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</si>
  <si>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</si>
  <si>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</si>
  <si>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</si>
  <si>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08/04</t>
  </si>
  <si>
    <t>08/24</t>
  </si>
  <si>
    <t>Sanborn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</si>
</sst>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)"/>
    <numFmt numFmtId="165" formatCode="0_)"/>
    <numFmt numFmtId="166" formatCode="0.0%"/>
    <numFmt numFmtId="167" formatCode="0.0"/>
    <numFmt numFmtId="168" formatCode="#,##0.0000"/>
    <numFmt numFmtId="169" formatCode="#,##0.000000000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4" fillId="0" borderId="0" xfId="0" applyNumberFormat="1" applyFont="1" applyProtection="1">
      <protection locked="0"/>
    </xf>
    <xf numFmtId="169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476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468536.57+13376.51</f>
        <v>481913.08</v>
      </c>
      <c r="G9" s="18">
        <v>377.4</v>
      </c>
      <c r="H9" s="18">
        <v>249136.26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280096.3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105083.89+2017.77-13442.4</f>
        <v>93659.260000000009</v>
      </c>
      <c r="G12" s="18"/>
      <c r="H12" s="18">
        <v>0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1992.91+880000+10037.05+12874</f>
        <v>904903.96000000008</v>
      </c>
      <c r="G13" s="18">
        <f>26491.68</f>
        <v>26491.68</v>
      </c>
      <c r="H13" s="18">
        <f>21445</f>
        <v>21445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896147.75-880000</f>
        <v>16147.75</v>
      </c>
      <c r="G14" s="18">
        <v>13083.38</v>
      </c>
      <c r="H14" s="18">
        <v>134766.73000000001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45386.48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1542010.5300000003</v>
      </c>
      <c r="G19" s="41">
        <f>SUM(G9:G18)</f>
        <v>39952.46</v>
      </c>
      <c r="H19" s="41">
        <f>SUM(H9:H18)</f>
        <v>405347.99</v>
      </c>
      <c r="I19" s="41">
        <f>SUM(I9:I18)</f>
        <v>0</v>
      </c>
      <c r="J19" s="41">
        <f>SUM(J9:J18)</f>
        <v>280096.3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2017.77</v>
      </c>
      <c r="H22" s="18">
        <f>105083.89-13442.4</f>
        <v>91641.49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311507.12+12874</f>
        <v>324381.12</v>
      </c>
      <c r="G24" s="18">
        <v>375</v>
      </c>
      <c r="H24" s="18">
        <v>10005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14192.99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9665.33</v>
      </c>
      <c r="H30" s="18">
        <v>8237.84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2760.57+13094.22</f>
        <v>15854.789999999999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354428.89999999997</v>
      </c>
      <c r="G32" s="41">
        <f>SUM(G22:G31)</f>
        <v>12058.1</v>
      </c>
      <c r="H32" s="41">
        <f>SUM(H22:H31)</f>
        <v>109884.33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45386.48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G19-G32</f>
        <v>27894.36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0</v>
      </c>
      <c r="H43" s="18">
        <v>0</v>
      </c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3576.6</v>
      </c>
      <c r="G47" s="18"/>
      <c r="H47" s="18">
        <f>H19-H32-H48</f>
        <v>248111.65999999997</v>
      </c>
      <c r="I47" s="18"/>
      <c r="J47" s="13">
        <f>SUM(I458)</f>
        <v>280096.3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f>567554.89</f>
        <v>567554.89</v>
      </c>
      <c r="G48" s="18" t="s">
        <v>287</v>
      </c>
      <c r="H48" s="18">
        <f>47352</f>
        <v>47352</v>
      </c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F19-F32-F36-F47-F48</f>
        <v>571063.66000000027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1187581.6300000004</v>
      </c>
      <c r="G50" s="41">
        <f>SUM(G35:G49)</f>
        <v>27894.36</v>
      </c>
      <c r="H50" s="41">
        <f>SUM(H35:H49)</f>
        <v>295463.65999999997</v>
      </c>
      <c r="I50" s="41">
        <f>SUM(I35:I49)</f>
        <v>0</v>
      </c>
      <c r="J50" s="41">
        <f>SUM(J35:J49)</f>
        <v>280096.3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1542010.5300000003</v>
      </c>
      <c r="G51" s="41">
        <f>G50+G32</f>
        <v>39952.46</v>
      </c>
      <c r="H51" s="41">
        <f>H50+H32</f>
        <v>405347.99</v>
      </c>
      <c r="I51" s="41">
        <f>I50+I32</f>
        <v>0</v>
      </c>
      <c r="J51" s="41">
        <f>J50+J32</f>
        <v>280096.3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18441754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13915.64</v>
      </c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18455669.640000001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28589.57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3250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917.91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3525186.81</f>
        <v>3525186.81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3557944.29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4271.24</v>
      </c>
      <c r="G95" s="18">
        <v>3.01</v>
      </c>
      <c r="H95" s="18">
        <v>20.25</v>
      </c>
      <c r="I95" s="18"/>
      <c r="J95" s="18">
        <f>H400</f>
        <v>435.16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416950.82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>
        <v>136855.5</v>
      </c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22700.55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1276.28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34948.68</f>
        <v>34948.68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63196.75</v>
      </c>
      <c r="G110" s="41">
        <f>SUM(G95:G109)</f>
        <v>416953.83</v>
      </c>
      <c r="H110" s="41">
        <f>SUM(H95:H109)</f>
        <v>136875.75</v>
      </c>
      <c r="I110" s="41">
        <f>SUM(I95:I109)</f>
        <v>0</v>
      </c>
      <c r="J110" s="41">
        <f>SUM(J95:J109)</f>
        <v>435.16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22076810.68</v>
      </c>
      <c r="G111" s="41">
        <f>G59+G110</f>
        <v>416953.83</v>
      </c>
      <c r="H111" s="41">
        <f>H59+H78+H93+H110</f>
        <v>136875.75</v>
      </c>
      <c r="I111" s="41">
        <f>I59+I110</f>
        <v>0</v>
      </c>
      <c r="J111" s="41">
        <f>J59+J110</f>
        <v>435.16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3708401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f>1529345+1065703</f>
        <v>2595048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11414.4</v>
      </c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6314863.4000000004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766879.81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153046.82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22660.13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6902.02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942586.76000000013</v>
      </c>
      <c r="G135" s="41">
        <f>SUM(G122:G134)</f>
        <v>6902.02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7257450.1600000001</v>
      </c>
      <c r="G139" s="41">
        <f>G120+SUM(G135:G136)</f>
        <v>6902.02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8603.6+195727.76+8829.16</f>
        <v>213160.52000000002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1772.16+3721.34+1600+11425.56+26250.86</f>
        <v>44769.919999999998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2036.99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138351.91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5720.61+418782.9</f>
        <v>424503.51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144083.35999999999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0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144083.35999999999</v>
      </c>
      <c r="G161" s="41">
        <f>SUM(G149:G160)</f>
        <v>138351.91</v>
      </c>
      <c r="H161" s="41">
        <f>SUM(H149:H160)</f>
        <v>684470.94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144083.35999999999</v>
      </c>
      <c r="G168" s="41">
        <f>G146+G161+SUM(G162:G167)</f>
        <v>138351.91</v>
      </c>
      <c r="H168" s="41">
        <f>H146+H161+SUM(H162:H167)</f>
        <v>684470.94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29596.25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29596.25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29596.25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29478344.199999999</v>
      </c>
      <c r="G192" s="47">
        <f>G111+G139+G168+G191</f>
        <v>591804.01</v>
      </c>
      <c r="H192" s="47">
        <f>H111+H139+H168+H191</f>
        <v>821346.69</v>
      </c>
      <c r="I192" s="47">
        <f>I111+I139+I168+I191</f>
        <v>0</v>
      </c>
      <c r="J192" s="47">
        <f>J111+J139+J191</f>
        <v>435.16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2885928.72</v>
      </c>
      <c r="G196" s="18">
        <v>1317599.01</v>
      </c>
      <c r="H196" s="18">
        <f>108253.73-2806-283.82</f>
        <v>105163.90999999999</v>
      </c>
      <c r="I196" s="18">
        <f>173013.17-1165.9-9.08-10303.83-1208.2</f>
        <v>160326.16000000003</v>
      </c>
      <c r="J196" s="18">
        <f>118806.2+1929.5+441.6-6766.87-6604</f>
        <v>107806.43000000001</v>
      </c>
      <c r="K196" s="18">
        <f>15181.48+198-1544.8</f>
        <v>13834.68</v>
      </c>
      <c r="L196" s="19">
        <f>SUM(F196:K196)</f>
        <v>4590658.91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1084369.8700000001</v>
      </c>
      <c r="G197" s="18">
        <v>502162.67</v>
      </c>
      <c r="H197" s="18">
        <v>216556.34</v>
      </c>
      <c r="I197" s="18">
        <f>13391.55-89.27</f>
        <v>13302.279999999999</v>
      </c>
      <c r="J197" s="18">
        <f>16374.57-372.4-789.98</f>
        <v>15212.19</v>
      </c>
      <c r="K197" s="18"/>
      <c r="L197" s="19">
        <f>SUM(F197:K197)</f>
        <v>1831603.35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46851.6</v>
      </c>
      <c r="G199" s="18">
        <v>3135.19</v>
      </c>
      <c r="H199" s="18"/>
      <c r="I199" s="18"/>
      <c r="J199" s="18"/>
      <c r="K199" s="18"/>
      <c r="L199" s="19">
        <f>SUM(F199:K199)</f>
        <v>49986.79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653168.46</v>
      </c>
      <c r="G201" s="18">
        <v>285355.28999999998</v>
      </c>
      <c r="H201" s="18">
        <v>250</v>
      </c>
      <c r="I201" s="18">
        <v>3957.4</v>
      </c>
      <c r="J201" s="18"/>
      <c r="K201" s="18"/>
      <c r="L201" s="19">
        <f t="shared" ref="L201:L207" si="0">SUM(F201:K201)</f>
        <v>942731.15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108516</v>
      </c>
      <c r="G202" s="18">
        <f>89327.6-9955.6</f>
        <v>79372</v>
      </c>
      <c r="H202" s="18">
        <f>8250.18+391.86-400</f>
        <v>8242.0400000000009</v>
      </c>
      <c r="I202" s="18">
        <f>18906.28-394.86</f>
        <v>18511.419999999998</v>
      </c>
      <c r="J202" s="18">
        <v>199.95</v>
      </c>
      <c r="K202" s="18">
        <v>1861.81</v>
      </c>
      <c r="L202" s="19">
        <f t="shared" si="0"/>
        <v>216703.22000000003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157337.16</v>
      </c>
      <c r="G203" s="18">
        <v>56750.3</v>
      </c>
      <c r="H203" s="18">
        <f>25222.28+37.19-610.23</f>
        <v>24649.239999999998</v>
      </c>
      <c r="I203" s="18">
        <v>4580.09</v>
      </c>
      <c r="J203" s="18">
        <v>402.36</v>
      </c>
      <c r="K203" s="18">
        <v>7250.77</v>
      </c>
      <c r="L203" s="19">
        <f t="shared" si="0"/>
        <v>250969.91999999998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468667.2</v>
      </c>
      <c r="G204" s="18">
        <v>216578.58</v>
      </c>
      <c r="H204" s="18">
        <f>12361.76-1280.25</f>
        <v>11081.51</v>
      </c>
      <c r="I204" s="18">
        <v>5162.5</v>
      </c>
      <c r="J204" s="18"/>
      <c r="K204" s="18">
        <v>6252</v>
      </c>
      <c r="L204" s="19">
        <f t="shared" si="0"/>
        <v>707741.79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92043.33</v>
      </c>
      <c r="G205" s="18">
        <v>42501.04</v>
      </c>
      <c r="H205" s="18">
        <f>9268.55-54</f>
        <v>9214.5499999999993</v>
      </c>
      <c r="I205" s="18">
        <v>2048.4</v>
      </c>
      <c r="J205" s="18">
        <f>440.78-88</f>
        <v>352.78</v>
      </c>
      <c r="K205" s="18">
        <v>106.4</v>
      </c>
      <c r="L205" s="19">
        <f t="shared" si="0"/>
        <v>146266.49999999997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413798.58</v>
      </c>
      <c r="G206" s="18">
        <v>219032.45</v>
      </c>
      <c r="H206" s="18">
        <f>199810.94+30167.51-2500-15626.35-373.21-231.22-35918-28-140-154</f>
        <v>175007.67</v>
      </c>
      <c r="I206" s="18">
        <f>266122.91+11719.54+523.68+41921.19-24-170-4692-12165-397.64-1.38-6.92</f>
        <v>302830.37999999995</v>
      </c>
      <c r="J206" s="18">
        <f>21343.58-3752</f>
        <v>17591.580000000002</v>
      </c>
      <c r="K206" s="18">
        <v>1854.31</v>
      </c>
      <c r="L206" s="19">
        <f t="shared" si="0"/>
        <v>1130114.9700000002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401452.62</v>
      </c>
      <c r="I207" s="18">
        <v>37701.599999999999</v>
      </c>
      <c r="J207" s="18"/>
      <c r="K207" s="18"/>
      <c r="L207" s="19">
        <f t="shared" si="0"/>
        <v>439154.22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106183.2</v>
      </c>
      <c r="G208" s="18">
        <v>145558.19</v>
      </c>
      <c r="H208" s="18"/>
      <c r="I208" s="18"/>
      <c r="J208" s="18"/>
      <c r="K208" s="18"/>
      <c r="L208" s="19">
        <f>SUM(F208:K208)</f>
        <v>251741.39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6016864.120000001</v>
      </c>
      <c r="G210" s="41">
        <f t="shared" si="1"/>
        <v>2868044.7199999997</v>
      </c>
      <c r="H210" s="41">
        <f t="shared" si="1"/>
        <v>951617.88</v>
      </c>
      <c r="I210" s="41">
        <f t="shared" si="1"/>
        <v>548420.23</v>
      </c>
      <c r="J210" s="41">
        <f t="shared" si="1"/>
        <v>141565.29</v>
      </c>
      <c r="K210" s="41">
        <f t="shared" si="1"/>
        <v>31159.970000000005</v>
      </c>
      <c r="L210" s="41">
        <f t="shared" si="1"/>
        <v>10557672.210000001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1596749.08</v>
      </c>
      <c r="G214" s="18">
        <v>662567.68000000005</v>
      </c>
      <c r="H214" s="18">
        <f>61768.02-406.86-1403-41.91</f>
        <v>59916.249999999993</v>
      </c>
      <c r="I214" s="18">
        <f>127457.07-537.05-4.54-193.42-5151.92-604.1</f>
        <v>120966.04000000001</v>
      </c>
      <c r="J214" s="18">
        <f>72255.86+220.8-3302</f>
        <v>69174.66</v>
      </c>
      <c r="K214" s="18">
        <f>8938.27+99-772.4</f>
        <v>8264.8700000000008</v>
      </c>
      <c r="L214" s="19">
        <f>SUM(F214:K214)</f>
        <v>2517638.5800000005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533718.51</v>
      </c>
      <c r="G215" s="18">
        <v>315344.21000000002</v>
      </c>
      <c r="H215" s="18">
        <v>98141.79</v>
      </c>
      <c r="I215" s="18">
        <v>5342.12</v>
      </c>
      <c r="J215" s="18">
        <f>6454.18-186.2</f>
        <v>6267.9800000000005</v>
      </c>
      <c r="K215" s="18"/>
      <c r="L215" s="19">
        <f>SUM(F215:K215)</f>
        <v>958814.61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64673.19</v>
      </c>
      <c r="G217" s="18">
        <v>19080.759999999998</v>
      </c>
      <c r="H217" s="18">
        <v>10800</v>
      </c>
      <c r="I217" s="18">
        <v>3747.52</v>
      </c>
      <c r="J217" s="18">
        <f>15151.31+360.5-8159</f>
        <v>7352.8099999999995</v>
      </c>
      <c r="K217" s="18">
        <v>860</v>
      </c>
      <c r="L217" s="19">
        <f>SUM(F217:K217)</f>
        <v>106514.28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290668.45</v>
      </c>
      <c r="G219" s="18">
        <v>134848.19</v>
      </c>
      <c r="H219" s="18">
        <v>225.45</v>
      </c>
      <c r="I219" s="18">
        <f>2487.45-19.61</f>
        <v>2467.8399999999997</v>
      </c>
      <c r="J219" s="18"/>
      <c r="K219" s="18"/>
      <c r="L219" s="19">
        <f t="shared" ref="L219:L225" si="2">SUM(F219:K219)</f>
        <v>428209.93000000005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65241</v>
      </c>
      <c r="G220" s="18">
        <f>31290.26-4977.8</f>
        <v>26312.46</v>
      </c>
      <c r="H220" s="18">
        <f>4746.32-305.12</f>
        <v>4441.2</v>
      </c>
      <c r="I220" s="18">
        <f>12722.3-109.65</f>
        <v>12612.65</v>
      </c>
      <c r="J220" s="18">
        <v>524.66999999999996</v>
      </c>
      <c r="K220" s="18">
        <v>1077.8900000000001</v>
      </c>
      <c r="L220" s="19">
        <f t="shared" si="2"/>
        <v>110209.86999999998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91089.94</v>
      </c>
      <c r="G221" s="18">
        <v>32855.440000000002</v>
      </c>
      <c r="H221" s="18">
        <f>14602.38+18.6</f>
        <v>14620.98</v>
      </c>
      <c r="I221" s="18">
        <v>2651.62</v>
      </c>
      <c r="J221" s="18">
        <v>232.94</v>
      </c>
      <c r="K221" s="18">
        <v>4197.78</v>
      </c>
      <c r="L221" s="19">
        <f t="shared" si="2"/>
        <v>145648.70000000001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251064.3</v>
      </c>
      <c r="G222" s="18">
        <v>103419.15</v>
      </c>
      <c r="H222" s="18">
        <v>6579.39</v>
      </c>
      <c r="I222" s="18"/>
      <c r="J222" s="18"/>
      <c r="K222" s="18">
        <v>3064</v>
      </c>
      <c r="L222" s="19">
        <f t="shared" si="2"/>
        <v>364126.83999999997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53288.25</v>
      </c>
      <c r="G223" s="18">
        <v>24605.88</v>
      </c>
      <c r="H223" s="18">
        <f>5365.98-27</f>
        <v>5338.98</v>
      </c>
      <c r="I223" s="18">
        <v>1185.92</v>
      </c>
      <c r="J223" s="18">
        <f>255.18-44</f>
        <v>211.18</v>
      </c>
      <c r="K223" s="18">
        <v>61.6</v>
      </c>
      <c r="L223" s="19">
        <f t="shared" si="2"/>
        <v>84691.81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191959.19</v>
      </c>
      <c r="G224" s="18">
        <v>98045.2</v>
      </c>
      <c r="H224" s="18">
        <f>152747.93+45512.5-1250-23865.37-186.6-18.13-24120-14-70-77</f>
        <v>148659.32999999999</v>
      </c>
      <c r="I224" s="18">
        <f>145247.28+5859.77+389.64+20050.8-12-85-2346-5648-200-0.69-3.44</f>
        <v>163252.35999999999</v>
      </c>
      <c r="J224" s="18">
        <f>65379.37-1876-20941-7807.45</f>
        <v>34754.920000000006</v>
      </c>
      <c r="K224" s="18">
        <v>1007.33</v>
      </c>
      <c r="L224" s="19">
        <f t="shared" si="2"/>
        <v>637678.32999999996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199506.44</v>
      </c>
      <c r="I225" s="18">
        <v>21827.24</v>
      </c>
      <c r="J225" s="18"/>
      <c r="K225" s="18"/>
      <c r="L225" s="19">
        <f t="shared" si="2"/>
        <v>221333.68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55746.18</v>
      </c>
      <c r="G226" s="18">
        <v>76418.039999999994</v>
      </c>
      <c r="H226" s="18"/>
      <c r="I226" s="18"/>
      <c r="J226" s="18"/>
      <c r="K226" s="18"/>
      <c r="L226" s="19">
        <f>SUM(F226:K226)</f>
        <v>132164.22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3194198.09</v>
      </c>
      <c r="G228" s="41">
        <f>SUM(G214:G227)</f>
        <v>1493497.0099999998</v>
      </c>
      <c r="H228" s="41">
        <f>SUM(H214:H227)</f>
        <v>548229.81000000006</v>
      </c>
      <c r="I228" s="41">
        <f>SUM(I214:I227)</f>
        <v>334053.31</v>
      </c>
      <c r="J228" s="41">
        <f>SUM(J214:J227)</f>
        <v>118519.16</v>
      </c>
      <c r="K228" s="41">
        <f t="shared" si="3"/>
        <v>18533.47</v>
      </c>
      <c r="L228" s="41">
        <f t="shared" si="3"/>
        <v>5707030.8499999996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2757676.66</v>
      </c>
      <c r="G232" s="18">
        <v>1087809.6100000001</v>
      </c>
      <c r="H232" s="18">
        <f>136829.93+643-79.7-2806-655.97</f>
        <v>133931.25999999998</v>
      </c>
      <c r="I232" s="18">
        <f>186660.24+1878.67-2936.99-9.08-10303.83-1208.2</f>
        <v>174080.81000000003</v>
      </c>
      <c r="J232" s="18">
        <f>209385.43+770+441.6-6604-372.4</f>
        <v>203620.63</v>
      </c>
      <c r="K232" s="18">
        <f>16543.5+198-1544.8</f>
        <v>15196.7</v>
      </c>
      <c r="L232" s="19">
        <f>SUM(F232:K232)</f>
        <v>4372315.6700000009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706690.67</v>
      </c>
      <c r="G233" s="18">
        <v>343978.39</v>
      </c>
      <c r="H233" s="18">
        <v>568877.43000000005</v>
      </c>
      <c r="I233" s="18">
        <v>10394.11</v>
      </c>
      <c r="J233" s="18">
        <v>11433.81</v>
      </c>
      <c r="K233" s="18"/>
      <c r="L233" s="19">
        <f>SUM(F233:K233)</f>
        <v>1641374.4100000004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197802</v>
      </c>
      <c r="I234" s="18"/>
      <c r="J234" s="18"/>
      <c r="K234" s="18"/>
      <c r="L234" s="19">
        <f>SUM(F234:K234)</f>
        <v>197802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170437.72</v>
      </c>
      <c r="G235" s="18">
        <v>42190.38</v>
      </c>
      <c r="H235" s="18">
        <f>69392.27+22830</f>
        <v>92222.27</v>
      </c>
      <c r="I235" s="18">
        <v>17181.810000000001</v>
      </c>
      <c r="J235" s="18">
        <f>30119.87+360.5-5338.18</f>
        <v>25142.19</v>
      </c>
      <c r="K235" s="18">
        <v>13235</v>
      </c>
      <c r="L235" s="19">
        <f>SUM(F235:K235)</f>
        <v>360409.37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417275.91</v>
      </c>
      <c r="G237" s="18">
        <v>196271.65</v>
      </c>
      <c r="H237" s="18">
        <v>3131</v>
      </c>
      <c r="I237" s="18">
        <v>5457.8</v>
      </c>
      <c r="J237" s="18">
        <v>3194.63</v>
      </c>
      <c r="K237" s="18">
        <v>583</v>
      </c>
      <c r="L237" s="19">
        <f t="shared" ref="L237:L243" si="4">SUM(F237:K237)</f>
        <v>625913.99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89423.1</v>
      </c>
      <c r="G238" s="18">
        <f>60195.38-9955.6</f>
        <v>50239.78</v>
      </c>
      <c r="H238" s="18">
        <v>8263.35</v>
      </c>
      <c r="I238" s="18">
        <v>34882.21</v>
      </c>
      <c r="J238" s="18">
        <v>3026.89</v>
      </c>
      <c r="K238" s="18">
        <v>1959.8</v>
      </c>
      <c r="L238" s="19">
        <f t="shared" si="4"/>
        <v>187795.13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165618.06</v>
      </c>
      <c r="G239" s="18">
        <v>59737.16</v>
      </c>
      <c r="H239" s="18">
        <f>26549.76+37.19-610.23</f>
        <v>25976.719999999998</v>
      </c>
      <c r="I239" s="18">
        <f>4821.13-925</f>
        <v>3896.13</v>
      </c>
      <c r="J239" s="18">
        <v>423.54</v>
      </c>
      <c r="K239" s="18">
        <v>7632.38</v>
      </c>
      <c r="L239" s="19">
        <f t="shared" si="4"/>
        <v>263283.99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357204</v>
      </c>
      <c r="G240" s="18">
        <v>142499.24</v>
      </c>
      <c r="H240" s="18">
        <v>26460.46</v>
      </c>
      <c r="I240" s="18">
        <v>28526.57</v>
      </c>
      <c r="J240" s="18"/>
      <c r="K240" s="18">
        <v>13877.13</v>
      </c>
      <c r="L240" s="19">
        <f t="shared" si="4"/>
        <v>568567.39999999991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96887.72</v>
      </c>
      <c r="G241" s="18">
        <v>44737.94</v>
      </c>
      <c r="H241" s="18">
        <f>9756.36-54</f>
        <v>9702.36</v>
      </c>
      <c r="I241" s="18">
        <v>2156.21</v>
      </c>
      <c r="J241" s="18">
        <f>4183.31-88</f>
        <v>4095.3100000000004</v>
      </c>
      <c r="K241" s="18">
        <v>112</v>
      </c>
      <c r="L241" s="19">
        <f t="shared" si="4"/>
        <v>157691.54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497242.42</v>
      </c>
      <c r="G242" s="18">
        <v>280532.92</v>
      </c>
      <c r="H242" s="18">
        <f>256303.21+2700-2500-21191-373.21-736.83-8087-28-70-154-6595</f>
        <v>219268.17</v>
      </c>
      <c r="I242" s="18">
        <f>297261.29+11719.54+134.04+90067.51-24-85-4692-13902.52-1.38-3.44</f>
        <v>380474.03999999992</v>
      </c>
      <c r="J242" s="18">
        <f>30018.71-3752</f>
        <v>26266.71</v>
      </c>
      <c r="K242" s="18">
        <v>1613.36</v>
      </c>
      <c r="L242" s="19">
        <f t="shared" si="4"/>
        <v>1405397.6199999999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399515.84</f>
        <v>399515.84</v>
      </c>
      <c r="I243" s="18">
        <v>39685.9</v>
      </c>
      <c r="J243" s="18"/>
      <c r="K243" s="18"/>
      <c r="L243" s="19">
        <f t="shared" si="4"/>
        <v>439201.74000000005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103528.62</v>
      </c>
      <c r="G244" s="18">
        <v>141919.25</v>
      </c>
      <c r="H244" s="18"/>
      <c r="I244" s="18"/>
      <c r="J244" s="18"/>
      <c r="K244" s="18"/>
      <c r="L244" s="19">
        <f>SUM(F244:K244)</f>
        <v>245447.87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5361984.88</v>
      </c>
      <c r="G246" s="41">
        <f t="shared" si="5"/>
        <v>2389916.3199999998</v>
      </c>
      <c r="H246" s="41">
        <f t="shared" si="5"/>
        <v>1685150.86</v>
      </c>
      <c r="I246" s="41">
        <f t="shared" si="5"/>
        <v>696735.59</v>
      </c>
      <c r="J246" s="41">
        <f t="shared" si="5"/>
        <v>277203.71000000002</v>
      </c>
      <c r="K246" s="41">
        <f t="shared" si="5"/>
        <v>54209.369999999995</v>
      </c>
      <c r="L246" s="41">
        <f t="shared" si="5"/>
        <v>10465200.73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>
        <v>2500</v>
      </c>
      <c r="L252" s="19">
        <f t="shared" si="6"/>
        <v>2500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231169.9+288753.64-17347-26003-60350</f>
        <v>416223.54000000004</v>
      </c>
      <c r="I254" s="18"/>
      <c r="J254" s="18"/>
      <c r="K254" s="18"/>
      <c r="L254" s="19">
        <f t="shared" si="6"/>
        <v>416223.54000000004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416223.54000000004</v>
      </c>
      <c r="I255" s="41">
        <f t="shared" si="7"/>
        <v>0</v>
      </c>
      <c r="J255" s="41">
        <f t="shared" si="7"/>
        <v>0</v>
      </c>
      <c r="K255" s="41">
        <f t="shared" si="7"/>
        <v>2500</v>
      </c>
      <c r="L255" s="41">
        <f>SUM(F255:K255)</f>
        <v>418723.54000000004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14573047.09</v>
      </c>
      <c r="G256" s="41">
        <f t="shared" si="8"/>
        <v>6751458.0499999989</v>
      </c>
      <c r="H256" s="41">
        <f t="shared" si="8"/>
        <v>3601222.09</v>
      </c>
      <c r="I256" s="41">
        <f t="shared" si="8"/>
        <v>1579209.13</v>
      </c>
      <c r="J256" s="41">
        <f t="shared" si="8"/>
        <v>537288.16</v>
      </c>
      <c r="K256" s="41">
        <f t="shared" si="8"/>
        <v>106402.81</v>
      </c>
      <c r="L256" s="41">
        <f t="shared" si="8"/>
        <v>27148627.329999998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1576009.92</v>
      </c>
      <c r="L259" s="19">
        <f>SUM(F259:K259)</f>
        <v>1576009.92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739005.58</v>
      </c>
      <c r="L260" s="19">
        <f>SUM(F260:K260)</f>
        <v>739005.58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29596.25</v>
      </c>
      <c r="L262" s="19">
        <f>SUM(F262:K262)</f>
        <v>29596.25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2344611.75</v>
      </c>
      <c r="L269" s="41">
        <f t="shared" si="9"/>
        <v>2344611.75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14573047.09</v>
      </c>
      <c r="G270" s="42">
        <f t="shared" si="11"/>
        <v>6751458.0499999989</v>
      </c>
      <c r="H270" s="42">
        <f t="shared" si="11"/>
        <v>3601222.09</v>
      </c>
      <c r="I270" s="42">
        <f t="shared" si="11"/>
        <v>1579209.13</v>
      </c>
      <c r="J270" s="42">
        <f t="shared" si="11"/>
        <v>537288.16</v>
      </c>
      <c r="K270" s="42">
        <f t="shared" si="11"/>
        <v>2451014.56</v>
      </c>
      <c r="L270" s="42">
        <f t="shared" si="11"/>
        <v>29493239.079999998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125220.53</v>
      </c>
      <c r="G275" s="18">
        <v>21293.77</v>
      </c>
      <c r="H275" s="18">
        <f>49241.12-1974.8</f>
        <v>47266.32</v>
      </c>
      <c r="I275" s="18">
        <f>21993.64-261</f>
        <v>21732.639999999999</v>
      </c>
      <c r="J275" s="18">
        <f>25755.7-16966</f>
        <v>8789.7000000000007</v>
      </c>
      <c r="K275" s="18"/>
      <c r="L275" s="19">
        <f>SUM(F275:K275)</f>
        <v>224302.96000000002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119413.55</v>
      </c>
      <c r="G276" s="18">
        <v>20665.82</v>
      </c>
      <c r="H276" s="18">
        <v>3602</v>
      </c>
      <c r="I276" s="18"/>
      <c r="J276" s="18"/>
      <c r="K276" s="18"/>
      <c r="L276" s="19">
        <f>SUM(F276:K276)</f>
        <v>143681.37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4000</v>
      </c>
      <c r="G280" s="18">
        <v>757.54</v>
      </c>
      <c r="H280" s="18">
        <v>19860.13</v>
      </c>
      <c r="I280" s="18"/>
      <c r="J280" s="18"/>
      <c r="K280" s="18"/>
      <c r="L280" s="19">
        <f t="shared" ref="L280:L286" si="12">SUM(F280:K280)</f>
        <v>24617.670000000002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95</v>
      </c>
      <c r="I281" s="18"/>
      <c r="J281" s="18"/>
      <c r="K281" s="18"/>
      <c r="L281" s="19">
        <f t="shared" si="12"/>
        <v>95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248634.08000000002</v>
      </c>
      <c r="G289" s="42">
        <f t="shared" si="13"/>
        <v>42717.13</v>
      </c>
      <c r="H289" s="42">
        <f t="shared" si="13"/>
        <v>70823.45</v>
      </c>
      <c r="I289" s="42">
        <f t="shared" si="13"/>
        <v>21732.639999999999</v>
      </c>
      <c r="J289" s="42">
        <f t="shared" si="13"/>
        <v>8789.7000000000007</v>
      </c>
      <c r="K289" s="42">
        <f t="shared" si="13"/>
        <v>0</v>
      </c>
      <c r="L289" s="41">
        <f t="shared" si="13"/>
        <v>392697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2120</v>
      </c>
      <c r="G294" s="18">
        <v>360.18</v>
      </c>
      <c r="H294" s="18">
        <f>6626.89-987.4</f>
        <v>5639.4900000000007</v>
      </c>
      <c r="I294" s="18">
        <v>805.9</v>
      </c>
      <c r="J294" s="18">
        <f>9331.3-8483</f>
        <v>848.29999999999927</v>
      </c>
      <c r="K294" s="18"/>
      <c r="L294" s="19">
        <f>SUM(F294:K294)</f>
        <v>9773.869999999999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55638.62</v>
      </c>
      <c r="G295" s="18">
        <v>9562.52</v>
      </c>
      <c r="H295" s="18">
        <v>18965.990000000002</v>
      </c>
      <c r="I295" s="18"/>
      <c r="J295" s="18"/>
      <c r="K295" s="18"/>
      <c r="L295" s="19">
        <f>SUM(F295:K295)</f>
        <v>84167.13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10028.43</v>
      </c>
      <c r="I299" s="18"/>
      <c r="J299" s="18"/>
      <c r="K299" s="18"/>
      <c r="L299" s="19">
        <f t="shared" ref="L299:L305" si="14">SUM(F299:K299)</f>
        <v>10028.43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52.5</v>
      </c>
      <c r="I300" s="18"/>
      <c r="J300" s="18"/>
      <c r="K300" s="18"/>
      <c r="L300" s="19">
        <f t="shared" si="14"/>
        <v>52.5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57758.62</v>
      </c>
      <c r="G308" s="42">
        <f t="shared" si="15"/>
        <v>9922.7000000000007</v>
      </c>
      <c r="H308" s="42">
        <f t="shared" si="15"/>
        <v>34686.410000000003</v>
      </c>
      <c r="I308" s="42">
        <f t="shared" si="15"/>
        <v>805.9</v>
      </c>
      <c r="J308" s="42">
        <f t="shared" si="15"/>
        <v>848.29999999999927</v>
      </c>
      <c r="K308" s="42">
        <f t="shared" si="15"/>
        <v>0</v>
      </c>
      <c r="L308" s="41">
        <f t="shared" si="15"/>
        <v>104021.93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5952.75</v>
      </c>
      <c r="G313" s="18">
        <v>1044.58</v>
      </c>
      <c r="H313" s="18">
        <f>26675.61-1974.8</f>
        <v>24700.81</v>
      </c>
      <c r="I313" s="18">
        <v>8538.49</v>
      </c>
      <c r="J313" s="18">
        <v>0</v>
      </c>
      <c r="K313" s="18"/>
      <c r="L313" s="19">
        <f>SUM(F313:K313)</f>
        <v>40236.629999999997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111272.22</v>
      </c>
      <c r="G314" s="18">
        <v>19124.54</v>
      </c>
      <c r="H314" s="18">
        <v>16112</v>
      </c>
      <c r="I314" s="18"/>
      <c r="J314" s="18"/>
      <c r="K314" s="18"/>
      <c r="L314" s="19">
        <f>SUM(F314:K314)</f>
        <v>146508.76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v>20007.689999999999</v>
      </c>
      <c r="I318" s="18"/>
      <c r="J318" s="18"/>
      <c r="K318" s="18"/>
      <c r="L318" s="19">
        <f t="shared" ref="L318:L324" si="16">SUM(F318:K318)</f>
        <v>20007.689999999999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v>102.5</v>
      </c>
      <c r="I319" s="18"/>
      <c r="J319" s="18"/>
      <c r="K319" s="18"/>
      <c r="L319" s="19">
        <f t="shared" si="16"/>
        <v>102.5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117224.97</v>
      </c>
      <c r="G327" s="42">
        <f t="shared" si="17"/>
        <v>20169.120000000003</v>
      </c>
      <c r="H327" s="42">
        <f t="shared" si="17"/>
        <v>60923</v>
      </c>
      <c r="I327" s="42">
        <f t="shared" si="17"/>
        <v>8538.49</v>
      </c>
      <c r="J327" s="42">
        <f t="shared" si="17"/>
        <v>0</v>
      </c>
      <c r="K327" s="42">
        <f t="shared" si="17"/>
        <v>0</v>
      </c>
      <c r="L327" s="41">
        <f t="shared" si="17"/>
        <v>206855.58000000002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423617.67000000004</v>
      </c>
      <c r="G337" s="41">
        <f t="shared" si="20"/>
        <v>72808.950000000012</v>
      </c>
      <c r="H337" s="41">
        <f t="shared" si="20"/>
        <v>166432.85999999999</v>
      </c>
      <c r="I337" s="41">
        <f t="shared" si="20"/>
        <v>31077.03</v>
      </c>
      <c r="J337" s="41">
        <f t="shared" si="20"/>
        <v>9638</v>
      </c>
      <c r="K337" s="41">
        <f t="shared" si="20"/>
        <v>0</v>
      </c>
      <c r="L337" s="41">
        <f t="shared" si="20"/>
        <v>703574.51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423617.67000000004</v>
      </c>
      <c r="G351" s="41">
        <f>G337</f>
        <v>72808.950000000012</v>
      </c>
      <c r="H351" s="41">
        <f>H337</f>
        <v>166432.85999999999</v>
      </c>
      <c r="I351" s="41">
        <f>I337</f>
        <v>31077.03</v>
      </c>
      <c r="J351" s="41">
        <f>J337</f>
        <v>9638</v>
      </c>
      <c r="K351" s="47">
        <f>K337+K350</f>
        <v>0</v>
      </c>
      <c r="L351" s="41">
        <f>L337+L350</f>
        <v>703574.51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220775.6</v>
      </c>
      <c r="I357" s="18">
        <v>1402.8</v>
      </c>
      <c r="J357" s="18">
        <v>14534.4</v>
      </c>
      <c r="K357" s="18"/>
      <c r="L357" s="13">
        <f>SUM(F357:K357)</f>
        <v>236712.8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>
        <v>127817.46</v>
      </c>
      <c r="I358" s="18">
        <v>812.15</v>
      </c>
      <c r="J358" s="18">
        <v>6903.96</v>
      </c>
      <c r="K358" s="18"/>
      <c r="L358" s="19">
        <f>SUM(F358:K358)</f>
        <v>135533.57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232395.37</v>
      </c>
      <c r="I359" s="18">
        <v>1476.63</v>
      </c>
      <c r="J359" s="18">
        <v>185.64</v>
      </c>
      <c r="K359" s="18"/>
      <c r="L359" s="19">
        <f>SUM(F359:K359)</f>
        <v>234057.64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580988.42999999993</v>
      </c>
      <c r="I361" s="47">
        <f t="shared" si="22"/>
        <v>3691.58</v>
      </c>
      <c r="J361" s="47">
        <f t="shared" si="22"/>
        <v>21624</v>
      </c>
      <c r="K361" s="47">
        <f t="shared" si="22"/>
        <v>0</v>
      </c>
      <c r="L361" s="47">
        <f t="shared" si="22"/>
        <v>606304.01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I357</f>
        <v>1402.8</v>
      </c>
      <c r="G367" s="63">
        <f>I358</f>
        <v>812.15</v>
      </c>
      <c r="H367" s="63">
        <f>I359</f>
        <v>1476.63</v>
      </c>
      <c r="I367" s="56">
        <f>SUM(F367:H367)</f>
        <v>3691.58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1402.8</v>
      </c>
      <c r="G368" s="47">
        <f>SUM(G366:G367)</f>
        <v>812.15</v>
      </c>
      <c r="H368" s="47">
        <f>SUM(H366:H367)</f>
        <v>1476.63</v>
      </c>
      <c r="I368" s="47">
        <f>SUM(I366:I367)</f>
        <v>3691.58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82.92</v>
      </c>
      <c r="I395" s="18"/>
      <c r="J395" s="24" t="s">
        <v>289</v>
      </c>
      <c r="K395" s="24" t="s">
        <v>289</v>
      </c>
      <c r="L395" s="56">
        <f t="shared" si="26"/>
        <v>82.92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f>351.38+0.86</f>
        <v>352.24</v>
      </c>
      <c r="I396" s="18"/>
      <c r="J396" s="24" t="s">
        <v>289</v>
      </c>
      <c r="K396" s="24" t="s">
        <v>289</v>
      </c>
      <c r="L396" s="56">
        <f t="shared" si="26"/>
        <v>352.24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435.16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435.16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435.16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435.16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f>226676.38+53419.92</f>
        <v>280096.3</v>
      </c>
      <c r="H439" s="18"/>
      <c r="I439" s="56">
        <f t="shared" si="33"/>
        <v>280096.3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280096.3</v>
      </c>
      <c r="H445" s="13">
        <f>SUM(H438:H444)</f>
        <v>0</v>
      </c>
      <c r="I445" s="13">
        <f>SUM(I438:I444)</f>
        <v>280096.3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G439</f>
        <v>280096.3</v>
      </c>
      <c r="H458" s="18"/>
      <c r="I458" s="56">
        <f t="shared" si="34"/>
        <v>280096.3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280096.3</v>
      </c>
      <c r="H459" s="83">
        <f>SUM(H453:H458)</f>
        <v>0</v>
      </c>
      <c r="I459" s="83">
        <f>SUM(I453:I458)</f>
        <v>280096.3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280096.3</v>
      </c>
      <c r="H460" s="42">
        <f>H451+H459</f>
        <v>0</v>
      </c>
      <c r="I460" s="42">
        <f>I451+I459</f>
        <v>280096.3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1202476.5100000054</v>
      </c>
      <c r="G464" s="18">
        <v>42394.359999999986</v>
      </c>
      <c r="H464" s="18">
        <v>177691.47999999998</v>
      </c>
      <c r="I464" s="18"/>
      <c r="J464" s="18">
        <v>279661.14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29478344.199999999</v>
      </c>
      <c r="G467" s="18">
        <f>G192</f>
        <v>591804.01</v>
      </c>
      <c r="H467" s="18">
        <f>H192</f>
        <v>821346.69</v>
      </c>
      <c r="I467" s="18"/>
      <c r="J467" s="18">
        <f>H407</f>
        <v>435.16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29478344.199999999</v>
      </c>
      <c r="G469" s="53">
        <f>SUM(G467:G468)</f>
        <v>591804.01</v>
      </c>
      <c r="H469" s="53">
        <f>SUM(H467:H468)</f>
        <v>821346.69</v>
      </c>
      <c r="I469" s="53">
        <f>SUM(I467:I468)</f>
        <v>0</v>
      </c>
      <c r="J469" s="53">
        <f>SUM(J467:J468)</f>
        <v>435.16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29493239.079999998</v>
      </c>
      <c r="G471" s="18">
        <f>L361</f>
        <v>606304.01</v>
      </c>
      <c r="H471" s="18">
        <f>L351</f>
        <v>703574.51</v>
      </c>
      <c r="I471" s="18"/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29493239.079999998</v>
      </c>
      <c r="G473" s="53">
        <f>SUM(G471:G472)</f>
        <v>606304.01</v>
      </c>
      <c r="H473" s="53">
        <f>SUM(H471:H472)</f>
        <v>703574.51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1187581.6300000064</v>
      </c>
      <c r="G475" s="53">
        <f>(G464+G469)- G473</f>
        <v>27894.359999999986</v>
      </c>
      <c r="H475" s="53">
        <f>(H464+H469)- H473</f>
        <v>295463.65999999992</v>
      </c>
      <c r="I475" s="53">
        <f>(I464+I469)- I473</f>
        <v>0</v>
      </c>
      <c r="J475" s="53">
        <f>(J464+J469)- J473</f>
        <v>280096.3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29770200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4.54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204">
        <v>22013541.66</v>
      </c>
      <c r="G494" s="18"/>
      <c r="H494" s="18"/>
      <c r="I494" s="18"/>
      <c r="J494" s="18"/>
      <c r="K494" s="53">
        <f>SUM(F494:J494)</f>
        <v>22013541.66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204">
        <f>1230029.01+345980.91</f>
        <v>1576009.92</v>
      </c>
      <c r="G496" s="18"/>
      <c r="H496" s="18"/>
      <c r="I496" s="18"/>
      <c r="J496" s="18"/>
      <c r="K496" s="53">
        <f t="shared" si="35"/>
        <v>1576009.92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20437531.740000002</v>
      </c>
      <c r="G497" s="204"/>
      <c r="H497" s="204"/>
      <c r="I497" s="204"/>
      <c r="J497" s="204"/>
      <c r="K497" s="205">
        <f t="shared" si="35"/>
        <v>20437531.740000002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14456828.85-F501</f>
        <v>13636954.199999999</v>
      </c>
      <c r="G498" s="18"/>
      <c r="H498" s="18"/>
      <c r="I498" s="18"/>
      <c r="J498" s="18"/>
      <c r="K498" s="53">
        <f t="shared" si="35"/>
        <v>13636954.199999999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34074485.939999998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34074485.939999998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f>1188234.31+307281.54</f>
        <v>1495515.85</v>
      </c>
      <c r="G500" s="204"/>
      <c r="H500" s="204"/>
      <c r="I500" s="204"/>
      <c r="J500" s="204"/>
      <c r="K500" s="205">
        <f t="shared" si="35"/>
        <v>1495515.85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662684.44+185512.21-28322</f>
        <v>819874.64999999991</v>
      </c>
      <c r="G501" s="18"/>
      <c r="H501" s="18"/>
      <c r="I501" s="18"/>
      <c r="J501" s="18"/>
      <c r="K501" s="53">
        <f t="shared" si="35"/>
        <v>819874.64999999991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2315390.5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2315390.5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232735</v>
      </c>
      <c r="G506" s="144"/>
      <c r="H506" s="144">
        <f>F506-I506</f>
        <v>4943</v>
      </c>
      <c r="I506" s="144">
        <v>227792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1101127</v>
      </c>
      <c r="G510" s="24" t="s">
        <v>289</v>
      </c>
      <c r="H510" s="18">
        <f>1101127</f>
        <v>1101127</v>
      </c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241587.20000000001</v>
      </c>
      <c r="G511" s="24" t="s">
        <v>289</v>
      </c>
      <c r="H511" s="18">
        <f>227544</f>
        <v>227544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f>1154184.38+29837806.03</f>
        <v>30991990.41</v>
      </c>
      <c r="G512" s="24" t="s">
        <v>289</v>
      </c>
      <c r="H512" s="18">
        <f>29367011+1476830</f>
        <v>30843841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f>477314.11+25039.82+92510.59</f>
        <v>594864.52</v>
      </c>
      <c r="G513" s="24" t="s">
        <v>289</v>
      </c>
      <c r="H513" s="18">
        <f>93855+467701+47268</f>
        <v>608824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54246.49</v>
      </c>
      <c r="G514" s="24" t="s">
        <v>289</v>
      </c>
      <c r="H514" s="18">
        <v>121410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>
        <f>F516</f>
        <v>32983815.619999997</v>
      </c>
      <c r="H515" s="24" t="s">
        <v>289</v>
      </c>
      <c r="I515" s="18">
        <v>32902746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32983815.619999997</v>
      </c>
      <c r="G516" s="42">
        <f>SUM(G510:G515)</f>
        <v>32983815.619999997</v>
      </c>
      <c r="H516" s="42">
        <f>SUM(H510:H515)</f>
        <v>32902746</v>
      </c>
      <c r="I516" s="42">
        <f>SUM(I510:I515)</f>
        <v>32902746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925047.4+43045.76+114529.76</f>
        <v>1082622.92</v>
      </c>
      <c r="G520" s="18">
        <f>445212.63+8150.32+19741.15</f>
        <v>473104.10000000003</v>
      </c>
      <c r="H520" s="18">
        <f>193179.26+3602</f>
        <v>196781.26</v>
      </c>
      <c r="I520" s="18">
        <f>5200.9+7879.77</f>
        <v>13080.67</v>
      </c>
      <c r="J520" s="18">
        <f>11433.81+5512.45</f>
        <v>16946.259999999998</v>
      </c>
      <c r="K520" s="18"/>
      <c r="L520" s="88">
        <f>SUM(F520:K520)</f>
        <v>1782535.21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480160.68+21522.88+57264.88</f>
        <v>558948.43999999994</v>
      </c>
      <c r="G521" s="18">
        <f>296278.37+4075.16+9870.58</f>
        <v>310224.11</v>
      </c>
      <c r="H521" s="18">
        <f>92420.04+1801</f>
        <v>94221.04</v>
      </c>
      <c r="I521" s="18">
        <f>2600.45+2481.62</f>
        <v>5082.07</v>
      </c>
      <c r="J521" s="18">
        <f>5716.91+165.58</f>
        <v>5882.49</v>
      </c>
      <c r="K521" s="18"/>
      <c r="L521" s="88">
        <f>SUM(F521:K521)</f>
        <v>974358.14999999991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654209.91+43045.76+114529.76</f>
        <v>811785.43</v>
      </c>
      <c r="G522" s="18">
        <f>345732.52+8150.32+19741.15</f>
        <v>373623.99000000005</v>
      </c>
      <c r="H522" s="18">
        <f>568527.43+3602</f>
        <v>572129.43000000005</v>
      </c>
      <c r="I522" s="18">
        <f>5200.9+5193.21</f>
        <v>10394.11</v>
      </c>
      <c r="J522" s="18">
        <f>11433.81</f>
        <v>11433.81</v>
      </c>
      <c r="K522" s="18"/>
      <c r="L522" s="88">
        <f>SUM(F522:K522)</f>
        <v>1779366.7700000003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2453356.79</v>
      </c>
      <c r="G523" s="108">
        <f t="shared" ref="G523:L523" si="36">SUM(G520:G522)</f>
        <v>1156952.2</v>
      </c>
      <c r="H523" s="108">
        <f t="shared" si="36"/>
        <v>863131.73</v>
      </c>
      <c r="I523" s="108">
        <f t="shared" si="36"/>
        <v>28556.85</v>
      </c>
      <c r="J523" s="108">
        <f t="shared" si="36"/>
        <v>34262.559999999998</v>
      </c>
      <c r="K523" s="108">
        <f t="shared" si="36"/>
        <v>0</v>
      </c>
      <c r="L523" s="89">
        <f t="shared" si="36"/>
        <v>4536260.13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226363+960+43604+1600</f>
        <v>272527</v>
      </c>
      <c r="G525" s="18">
        <f>99524.34+154.94+63932.43+307.68</f>
        <v>163919.38999999998</v>
      </c>
      <c r="H525" s="18"/>
      <c r="I525" s="18"/>
      <c r="J525" s="18"/>
      <c r="K525" s="18"/>
      <c r="L525" s="88">
        <f>SUM(F525:K525)</f>
        <v>436446.39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64549.29+480</f>
        <v>65029.29</v>
      </c>
      <c r="G526" s="18">
        <f>34225.26+77.47</f>
        <v>34302.730000000003</v>
      </c>
      <c r="H526" s="18">
        <v>17165</v>
      </c>
      <c r="I526" s="18"/>
      <c r="J526" s="18"/>
      <c r="K526" s="18"/>
      <c r="L526" s="88">
        <f>SUM(F526:K526)</f>
        <v>116497.02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78010.22+960</f>
        <v>78970.22</v>
      </c>
      <c r="G527" s="18">
        <f>38234.61+154.94</f>
        <v>38389.550000000003</v>
      </c>
      <c r="H527" s="18">
        <v>12510</v>
      </c>
      <c r="I527" s="18"/>
      <c r="J527" s="18"/>
      <c r="K527" s="18"/>
      <c r="L527" s="88">
        <f>SUM(F527:K527)</f>
        <v>129869.77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416526.51</v>
      </c>
      <c r="G528" s="89">
        <f t="shared" ref="G528:L528" si="37">SUM(G525:G527)</f>
        <v>236611.66999999998</v>
      </c>
      <c r="H528" s="89">
        <f t="shared" si="37"/>
        <v>29675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682813.18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67279.64</f>
        <v>67279.64</v>
      </c>
      <c r="G530" s="18">
        <f>33917.48</f>
        <v>33917.480000000003</v>
      </c>
      <c r="H530" s="18">
        <f>1322.76</f>
        <v>1322.76</v>
      </c>
      <c r="I530" s="18">
        <f>1832.84</f>
        <v>1832.84</v>
      </c>
      <c r="J530" s="18"/>
      <c r="K530" s="18">
        <f>517.6</f>
        <v>517.6</v>
      </c>
      <c r="L530" s="88">
        <f>SUM(F530:K530)</f>
        <v>104870.31999999999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33639.82</f>
        <v>33639.82</v>
      </c>
      <c r="G531" s="18">
        <f>16958.74</f>
        <v>16958.740000000002</v>
      </c>
      <c r="H531" s="18">
        <f>661.38</f>
        <v>661.38</v>
      </c>
      <c r="I531" s="18">
        <f>916.42</f>
        <v>916.42</v>
      </c>
      <c r="J531" s="18"/>
      <c r="K531" s="18">
        <v>258.8</v>
      </c>
      <c r="L531" s="88">
        <f>SUM(F531:K531)</f>
        <v>52435.159999999996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67279.64</f>
        <v>67279.64</v>
      </c>
      <c r="G532" s="18">
        <f>33917.48</f>
        <v>33917.480000000003</v>
      </c>
      <c r="H532" s="18">
        <f>1322.76</f>
        <v>1322.76</v>
      </c>
      <c r="I532" s="18">
        <v>1832.84</v>
      </c>
      <c r="J532" s="18"/>
      <c r="K532" s="18">
        <v>517.6</v>
      </c>
      <c r="L532" s="88">
        <f>SUM(F532:K532)</f>
        <v>104870.31999999999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168199.09999999998</v>
      </c>
      <c r="G533" s="89">
        <f t="shared" ref="G533:L533" si="38">SUM(G530:G532)</f>
        <v>84793.700000000012</v>
      </c>
      <c r="H533" s="89">
        <f t="shared" si="38"/>
        <v>3306.8999999999996</v>
      </c>
      <c r="I533" s="89">
        <f t="shared" si="38"/>
        <v>4582.0999999999995</v>
      </c>
      <c r="J533" s="89">
        <f t="shared" si="38"/>
        <v>0</v>
      </c>
      <c r="K533" s="89">
        <f t="shared" si="38"/>
        <v>1294</v>
      </c>
      <c r="L533" s="89">
        <f t="shared" si="38"/>
        <v>262175.8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429.64</f>
        <v>429.64</v>
      </c>
      <c r="I535" s="18"/>
      <c r="J535" s="18"/>
      <c r="K535" s="18"/>
      <c r="L535" s="88">
        <f>SUM(F535:K535)</f>
        <v>429.64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214.82</v>
      </c>
      <c r="I536" s="18"/>
      <c r="J536" s="18"/>
      <c r="K536" s="18"/>
      <c r="L536" s="88">
        <f>SUM(F536:K536)</f>
        <v>214.82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429.64</v>
      </c>
      <c r="I537" s="18"/>
      <c r="J537" s="18"/>
      <c r="K537" s="18"/>
      <c r="L537" s="88">
        <f>SUM(F537:K537)</f>
        <v>429.64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1074.0999999999999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1074.0999999999999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H591</f>
        <v>160191</v>
      </c>
      <c r="I540" s="18"/>
      <c r="J540" s="18"/>
      <c r="K540" s="18"/>
      <c r="L540" s="88">
        <f>SUM(F540:K540)</f>
        <v>160191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I591</f>
        <v>42983.92</v>
      </c>
      <c r="I541" s="18"/>
      <c r="J541" s="18"/>
      <c r="K541" s="18"/>
      <c r="L541" s="88">
        <f>SUM(F541:K541)</f>
        <v>42983.92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J591</f>
        <v>84642.78</v>
      </c>
      <c r="I542" s="18"/>
      <c r="J542" s="18"/>
      <c r="K542" s="18"/>
      <c r="L542" s="88">
        <f>SUM(F542:K542)</f>
        <v>84642.78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287817.69999999995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287817.69999999995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3038082.4</v>
      </c>
      <c r="G544" s="89">
        <f t="shared" ref="G544:L544" si="41">G523+G528+G533+G538+G543</f>
        <v>1478357.5699999998</v>
      </c>
      <c r="H544" s="89">
        <f t="shared" si="41"/>
        <v>1185005.43</v>
      </c>
      <c r="I544" s="89">
        <f t="shared" si="41"/>
        <v>33138.949999999997</v>
      </c>
      <c r="J544" s="89">
        <f t="shared" si="41"/>
        <v>34262.559999999998</v>
      </c>
      <c r="K544" s="89">
        <f t="shared" si="41"/>
        <v>1294</v>
      </c>
      <c r="L544" s="89">
        <f t="shared" si="41"/>
        <v>5770140.9099999992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1782535.21</v>
      </c>
      <c r="G548" s="87">
        <f>L525</f>
        <v>436446.39</v>
      </c>
      <c r="H548" s="87">
        <f>L530</f>
        <v>104870.31999999999</v>
      </c>
      <c r="I548" s="87">
        <f>L535</f>
        <v>429.64</v>
      </c>
      <c r="J548" s="87">
        <f>L540</f>
        <v>160191</v>
      </c>
      <c r="K548" s="87">
        <f>SUM(F548:J548)</f>
        <v>2484472.56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974358.14999999991</v>
      </c>
      <c r="G549" s="87">
        <f>L526</f>
        <v>116497.02</v>
      </c>
      <c r="H549" s="87">
        <f>L531</f>
        <v>52435.159999999996</v>
      </c>
      <c r="I549" s="87">
        <f>L536</f>
        <v>214.82</v>
      </c>
      <c r="J549" s="87">
        <f>L541</f>
        <v>42983.92</v>
      </c>
      <c r="K549" s="87">
        <f>SUM(F549:J549)</f>
        <v>1186489.0699999998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1779366.7700000003</v>
      </c>
      <c r="G550" s="87">
        <f>L527</f>
        <v>129869.77</v>
      </c>
      <c r="H550" s="87">
        <f>L532</f>
        <v>104870.31999999999</v>
      </c>
      <c r="I550" s="87">
        <f>L537</f>
        <v>429.64</v>
      </c>
      <c r="J550" s="87">
        <f>L542</f>
        <v>84642.78</v>
      </c>
      <c r="K550" s="87">
        <f>SUM(F550:J550)</f>
        <v>2099179.2800000003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4536260.13</v>
      </c>
      <c r="G551" s="89">
        <f t="shared" si="42"/>
        <v>682813.18</v>
      </c>
      <c r="H551" s="89">
        <f t="shared" si="42"/>
        <v>262175.8</v>
      </c>
      <c r="I551" s="89">
        <f t="shared" si="42"/>
        <v>1074.0999999999999</v>
      </c>
      <c r="J551" s="89">
        <f t="shared" si="42"/>
        <v>287817.69999999995</v>
      </c>
      <c r="K551" s="89">
        <f t="shared" si="42"/>
        <v>5770140.9100000001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/>
      <c r="H561" s="18">
        <f>15657.5+163.88</f>
        <v>15821.38</v>
      </c>
      <c r="I561" s="18">
        <v>76</v>
      </c>
      <c r="J561" s="18"/>
      <c r="K561" s="18"/>
      <c r="L561" s="88">
        <f>SUM(F561:K561)</f>
        <v>15897.38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>
        <f>5627.5+94.25</f>
        <v>5721.75</v>
      </c>
      <c r="I562" s="18"/>
      <c r="J562" s="18"/>
      <c r="K562" s="18"/>
      <c r="L562" s="88">
        <f>SUM(F562:K562)</f>
        <v>5721.75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>
        <f>100</f>
        <v>100</v>
      </c>
      <c r="I563" s="18"/>
      <c r="J563" s="18"/>
      <c r="K563" s="18"/>
      <c r="L563" s="88">
        <f>SUM(F563:K563)</f>
        <v>100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21643.129999999997</v>
      </c>
      <c r="I564" s="89">
        <f t="shared" si="44"/>
        <v>76</v>
      </c>
      <c r="J564" s="89">
        <f t="shared" si="44"/>
        <v>0</v>
      </c>
      <c r="K564" s="89">
        <f t="shared" si="44"/>
        <v>0</v>
      </c>
      <c r="L564" s="89">
        <f t="shared" si="44"/>
        <v>21719.129999999997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f>115657</f>
        <v>115657</v>
      </c>
      <c r="G566" s="18">
        <f>35140.85+150+8332.06+13069.26+268.59+427.84</f>
        <v>57388.599999999991</v>
      </c>
      <c r="H566" s="18">
        <f>8122.5</f>
        <v>8122.5</v>
      </c>
      <c r="I566" s="18">
        <v>494.92</v>
      </c>
      <c r="J566" s="18"/>
      <c r="K566" s="18"/>
      <c r="L566" s="88">
        <f>SUM(F566:K566)</f>
        <v>181663.02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32414.66</v>
      </c>
      <c r="G567" s="18">
        <f>111.1+132.37+3162.73+2536.34+229.8</f>
        <v>6172.34</v>
      </c>
      <c r="H567" s="18"/>
      <c r="I567" s="18"/>
      <c r="J567" s="18"/>
      <c r="K567" s="18"/>
      <c r="L567" s="88">
        <f>SUM(F567:K567)</f>
        <v>38587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148071.66</v>
      </c>
      <c r="G569" s="193">
        <f t="shared" ref="G569:L569" si="45">SUM(G566:G568)</f>
        <v>63560.939999999988</v>
      </c>
      <c r="H569" s="193">
        <f t="shared" si="45"/>
        <v>8122.5</v>
      </c>
      <c r="I569" s="193">
        <f t="shared" si="45"/>
        <v>494.92</v>
      </c>
      <c r="J569" s="193">
        <f t="shared" si="45"/>
        <v>0</v>
      </c>
      <c r="K569" s="193">
        <f t="shared" si="45"/>
        <v>0</v>
      </c>
      <c r="L569" s="193">
        <f t="shared" si="45"/>
        <v>220250.02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148071.66</v>
      </c>
      <c r="G570" s="89">
        <f t="shared" ref="G570:L570" si="46">G559+G564+G569</f>
        <v>63560.939999999988</v>
      </c>
      <c r="H570" s="89">
        <f t="shared" si="46"/>
        <v>29765.629999999997</v>
      </c>
      <c r="I570" s="89">
        <f t="shared" si="46"/>
        <v>570.92000000000007</v>
      </c>
      <c r="J570" s="89">
        <f t="shared" si="46"/>
        <v>0</v>
      </c>
      <c r="K570" s="89">
        <f t="shared" si="46"/>
        <v>0</v>
      </c>
      <c r="L570" s="89">
        <f t="shared" si="46"/>
        <v>241969.15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f>1270</f>
        <v>1270</v>
      </c>
      <c r="I574" s="87">
        <f>SUM(F574:H574)</f>
        <v>1270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12004.8</v>
      </c>
      <c r="I575" s="87">
        <f t="shared" ref="I575:I586" si="47">SUM(F575:H575)</f>
        <v>12004.8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 t="s">
        <v>287</v>
      </c>
      <c r="G578" s="18">
        <v>16466.96</v>
      </c>
      <c r="H578" s="18">
        <v>50715.27</v>
      </c>
      <c r="I578" s="87">
        <f t="shared" si="47"/>
        <v>67182.23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f>73438.5</f>
        <v>73438.5</v>
      </c>
      <c r="G579" s="18"/>
      <c r="H579" s="18">
        <f>219235.22+33576</f>
        <v>252811.22</v>
      </c>
      <c r="I579" s="87">
        <f t="shared" si="47"/>
        <v>326249.71999999997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92457.14</f>
        <v>92457.14</v>
      </c>
      <c r="G581" s="18"/>
      <c r="H581" s="18">
        <f>203127.62</f>
        <v>203127.62</v>
      </c>
      <c r="I581" s="87">
        <f t="shared" si="47"/>
        <v>295584.76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f>197802</f>
        <v>197802</v>
      </c>
      <c r="I583" s="87">
        <f t="shared" si="47"/>
        <v>197802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278963.21999999997</v>
      </c>
      <c r="I590" s="18">
        <f>734113.74*0.2+14682.28</f>
        <v>161505.02799999999</v>
      </c>
      <c r="J590" s="18">
        <v>270218.90000000002</v>
      </c>
      <c r="K590" s="104">
        <f t="shared" ref="K590:K596" si="48">SUM(H590:J590)</f>
        <v>710687.14800000004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49547.5+68895+41748.5</f>
        <v>160191</v>
      </c>
      <c r="I591" s="18">
        <f>42983.93-0.01</f>
        <v>42983.92</v>
      </c>
      <c r="J591" s="18">
        <f>84642.78</f>
        <v>84642.78</v>
      </c>
      <c r="K591" s="104">
        <f t="shared" si="48"/>
        <v>287817.69999999995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23426.6</v>
      </c>
      <c r="K592" s="104">
        <f t="shared" si="48"/>
        <v>23426.6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11842.38</f>
        <v>11842.38</v>
      </c>
      <c r="J593" s="18">
        <f>54194.04</f>
        <v>54194.04</v>
      </c>
      <c r="K593" s="104">
        <f t="shared" si="48"/>
        <v>66036.42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f>5002.35</f>
        <v>5002.3500000000004</v>
      </c>
      <c r="J594" s="18">
        <f>6719.42</f>
        <v>6719.42</v>
      </c>
      <c r="K594" s="104">
        <f t="shared" si="48"/>
        <v>11721.77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439154.22</v>
      </c>
      <c r="I597" s="108">
        <f>SUM(I590:I596)</f>
        <v>221333.67799999999</v>
      </c>
      <c r="J597" s="108">
        <f>SUM(J590:J596)</f>
        <v>439201.74</v>
      </c>
      <c r="K597" s="108">
        <f>SUM(K590:K596)</f>
        <v>1099689.638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150354.99000000002</v>
      </c>
      <c r="I603" s="18">
        <f>J228+J308</f>
        <v>119367.46</v>
      </c>
      <c r="J603" s="18">
        <f>J246+J327</f>
        <v>277203.71000000002</v>
      </c>
      <c r="K603" s="104">
        <f>SUM(H603:J603)</f>
        <v>546926.16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150354.99000000002</v>
      </c>
      <c r="I604" s="108">
        <f>SUM(I601:I603)</f>
        <v>119367.46</v>
      </c>
      <c r="J604" s="108">
        <f>SUM(J601:J603)</f>
        <v>277203.71000000002</v>
      </c>
      <c r="K604" s="108">
        <f>SUM(K601:K603)</f>
        <v>546926.16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5802.51</v>
      </c>
      <c r="G612" s="18">
        <f>443.92+167.77+433.93+14.79+21.47</f>
        <v>1081.8800000000001</v>
      </c>
      <c r="H612" s="18"/>
      <c r="I612" s="18"/>
      <c r="J612" s="18"/>
      <c r="K612" s="18"/>
      <c r="L612" s="88">
        <f>SUM(F612:K612)</f>
        <v>6884.39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5802.51</v>
      </c>
      <c r="G613" s="108">
        <f t="shared" si="49"/>
        <v>1081.8800000000001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6884.39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1542010.5300000003</v>
      </c>
      <c r="H616" s="109">
        <f>SUM(F51)</f>
        <v>1542010.5300000003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39952.46</v>
      </c>
      <c r="H617" s="109">
        <f>SUM(G51)</f>
        <v>39952.46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405347.99</v>
      </c>
      <c r="H618" s="109">
        <f>SUM(H51)</f>
        <v>405347.99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280096.3</v>
      </c>
      <c r="H620" s="109">
        <f>SUM(J51)</f>
        <v>280096.3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1187581.6300000004</v>
      </c>
      <c r="H621" s="109">
        <f>F475</f>
        <v>1187581.6300000064</v>
      </c>
      <c r="I621" s="121" t="s">
        <v>101</v>
      </c>
      <c r="J621" s="109">
        <f t="shared" ref="J621:J654" si="50">G621-H621</f>
        <v>-6.0535967350006104E-9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27894.36</v>
      </c>
      <c r="H622" s="109">
        <f>G475</f>
        <v>27894.359999999986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295463.65999999997</v>
      </c>
      <c r="H623" s="109">
        <f>H475</f>
        <v>295463.65999999992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280096.3</v>
      </c>
      <c r="H625" s="109">
        <f>J475</f>
        <v>280096.3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29478344.199999999</v>
      </c>
      <c r="H626" s="104">
        <f>SUM(F467)</f>
        <v>29478344.199999999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591804.01</v>
      </c>
      <c r="H627" s="104">
        <f>SUM(G467)</f>
        <v>591804.01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821346.69</v>
      </c>
      <c r="H628" s="104">
        <f>SUM(H467)</f>
        <v>821346.69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435.16</v>
      </c>
      <c r="H630" s="104">
        <f>SUM(J467)</f>
        <v>435.16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29493239.079999998</v>
      </c>
      <c r="H631" s="104">
        <f>SUM(F471)</f>
        <v>29493239.079999998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703574.51</v>
      </c>
      <c r="H632" s="104">
        <f>SUM(H471)</f>
        <v>703574.51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3691.58</v>
      </c>
      <c r="H633" s="104">
        <f>I368</f>
        <v>3691.58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606304.01</v>
      </c>
      <c r="H634" s="104">
        <f>SUM(G471)</f>
        <v>606304.01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435.16</v>
      </c>
      <c r="H636" s="164">
        <f>SUM(J467)</f>
        <v>435.16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280096.3</v>
      </c>
      <c r="H639" s="104">
        <f>SUM(G460)</f>
        <v>280096.3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280096.3</v>
      </c>
      <c r="H641" s="104">
        <f>SUM(I460)</f>
        <v>280096.3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435.16</v>
      </c>
      <c r="H643" s="104">
        <f>H407</f>
        <v>435.16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435.16</v>
      </c>
      <c r="H645" s="104">
        <f>L407</f>
        <v>435.16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1099689.638</v>
      </c>
      <c r="H646" s="104">
        <f>L207+L225+L243</f>
        <v>1099689.6399999999</v>
      </c>
      <c r="I646" s="140" t="s">
        <v>397</v>
      </c>
      <c r="J646" s="109">
        <f t="shared" si="50"/>
        <v>-1.999999862164259E-3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546926.16</v>
      </c>
      <c r="H647" s="104">
        <f>(J256+J337)-(J254+J335)</f>
        <v>546926.16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439154.22</v>
      </c>
      <c r="H648" s="104">
        <f>H597</f>
        <v>439154.22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221333.68</v>
      </c>
      <c r="H649" s="104">
        <f>I597</f>
        <v>221333.67799999999</v>
      </c>
      <c r="I649" s="140" t="s">
        <v>390</v>
      </c>
      <c r="J649" s="109">
        <f t="shared" si="50"/>
        <v>2.0000000076834112E-3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439201.74000000005</v>
      </c>
      <c r="H650" s="104">
        <f>J597</f>
        <v>439201.74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29596.25</v>
      </c>
      <c r="H651" s="104">
        <f>K262+K344</f>
        <v>29596.25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11187082.010000002</v>
      </c>
      <c r="G659" s="19">
        <f>(L228+L308+L358)</f>
        <v>5946586.3499999996</v>
      </c>
      <c r="H659" s="19">
        <f>(L246+L327+L359)</f>
        <v>10906113.950000001</v>
      </c>
      <c r="I659" s="19">
        <f>SUM(F659:H659)</f>
        <v>28039782.310000002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162785.6561009649</v>
      </c>
      <c r="G660" s="19">
        <f>(L358/IF(SUM(L357:L359)=0,1,SUM(L357:L359))*(SUM(G96:G109)))</f>
        <v>93205.441852557429</v>
      </c>
      <c r="H660" s="19">
        <f>(L359/IF(SUM(L357:L359)=0,1,SUM(L357:L359))*(SUM(G96:G109)))</f>
        <v>160959.72204647763</v>
      </c>
      <c r="I660" s="19">
        <f>SUM(F660:H660)</f>
        <v>416950.81999999995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439154.22</v>
      </c>
      <c r="G661" s="19">
        <f>(L225+L305)-(J225+J305)</f>
        <v>221333.68</v>
      </c>
      <c r="H661" s="19">
        <f>(L243+L324)-(J243+J324)</f>
        <v>439201.74000000005</v>
      </c>
      <c r="I661" s="19">
        <f>SUM(F661:H661)</f>
        <v>1099689.6399999999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316250.63</v>
      </c>
      <c r="G662" s="199">
        <f>SUM(G574:G586)+SUM(I601:I603)+L611</f>
        <v>135834.42000000001</v>
      </c>
      <c r="H662" s="199">
        <f>SUM(H574:H586)+SUM(J601:J603)+L612</f>
        <v>1001819.0099999999</v>
      </c>
      <c r="I662" s="19">
        <f>SUM(F662:H662)</f>
        <v>1453904.06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10268891.503899036</v>
      </c>
      <c r="G663" s="19">
        <f>G659-SUM(G660:G662)</f>
        <v>5496212.8081474425</v>
      </c>
      <c r="H663" s="19">
        <f>H659-SUM(H660:H662)</f>
        <v>9304133.4779535234</v>
      </c>
      <c r="I663" s="19">
        <f>I659-SUM(I660:I662)</f>
        <v>25069237.790000003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341.68+309.29</f>
        <v>650.97</v>
      </c>
      <c r="G664" s="248">
        <f>375.6</f>
        <v>375.6</v>
      </c>
      <c r="H664" s="248">
        <f>717.41</f>
        <v>717.41</v>
      </c>
      <c r="I664" s="19">
        <f>SUM(F664:H664)</f>
        <v>1743.98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15774.75</v>
      </c>
      <c r="G666" s="19">
        <f>ROUND(G663/G664,2)</f>
        <v>14633.15</v>
      </c>
      <c r="H666" s="19">
        <f>ROUND(H663/H664,2)</f>
        <v>12969.06</v>
      </c>
      <c r="I666" s="19">
        <f>ROUND(I663/I664,2)</f>
        <v>14374.73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-32.840000000000003</v>
      </c>
      <c r="I669" s="19">
        <f>SUM(F669:H669)</f>
        <v>-32.840000000000003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15774.75</v>
      </c>
      <c r="G671" s="19">
        <f>ROUND((G663+G668)/(G664+G669),2)</f>
        <v>14633.15</v>
      </c>
      <c r="H671" s="19">
        <f>ROUND((H663+H668)/(H664+H669),2)</f>
        <v>13591.21</v>
      </c>
      <c r="I671" s="19">
        <f>ROUND((I663+I668)/(I664+I669),2)</f>
        <v>14650.61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Sanborn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7373647.7400000012</v>
      </c>
      <c r="C9" s="229">
        <f>'DOE25'!G196+'DOE25'!G214+'DOE25'!G232+'DOE25'!G275+'DOE25'!G294+'DOE25'!G313</f>
        <v>3090674.83</v>
      </c>
    </row>
    <row r="10" spans="1:3" x14ac:dyDescent="0.2">
      <c r="A10" t="s">
        <v>779</v>
      </c>
      <c r="B10" s="240">
        <f>29897+29897+29906+6398763+62350+75864+61135.74</f>
        <v>6687812.7400000002</v>
      </c>
      <c r="C10" s="240">
        <f>+C9*0.91</f>
        <v>2812514.0953000002</v>
      </c>
    </row>
    <row r="11" spans="1:3" x14ac:dyDescent="0.2">
      <c r="A11" t="s">
        <v>780</v>
      </c>
      <c r="B11" s="240">
        <v>361623</v>
      </c>
      <c r="C11" s="240">
        <f>+C9*0.05</f>
        <v>154533.7415</v>
      </c>
    </row>
    <row r="12" spans="1:3" x14ac:dyDescent="0.2">
      <c r="A12" t="s">
        <v>781</v>
      </c>
      <c r="B12" s="240">
        <f>6900+169729+9360+51363+2426+84434</f>
        <v>324212</v>
      </c>
      <c r="C12" s="274">
        <f>+C9-C10-C11</f>
        <v>123626.99319999991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7373647.7400000002</v>
      </c>
      <c r="C13" s="231">
        <f>SUM(C10:C12)</f>
        <v>3090674.83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2611103.4400000004</v>
      </c>
      <c r="C18" s="229">
        <f>'DOE25'!G197+'DOE25'!G215+'DOE25'!G233+'DOE25'!G276+'DOE25'!G295+'DOE25'!G314</f>
        <v>1210838.1500000001</v>
      </c>
    </row>
    <row r="19" spans="1:3" x14ac:dyDescent="0.2">
      <c r="A19" t="s">
        <v>779</v>
      </c>
      <c r="B19" s="240">
        <f>576804+63564+116115+444149+145672+55668+21600+19450+2700+3000+162928.44</f>
        <v>1611650.44</v>
      </c>
      <c r="C19" s="240">
        <f>+C18*0.62</f>
        <v>750719.65300000005</v>
      </c>
    </row>
    <row r="20" spans="1:3" x14ac:dyDescent="0.2">
      <c r="A20" t="s">
        <v>780</v>
      </c>
      <c r="B20" s="240">
        <f>435485+31312+374020+37500</f>
        <v>878317</v>
      </c>
      <c r="C20" s="240">
        <f>+C18*0.34</f>
        <v>411684.97100000008</v>
      </c>
    </row>
    <row r="21" spans="1:3" x14ac:dyDescent="0.2">
      <c r="A21" t="s">
        <v>781</v>
      </c>
      <c r="B21" s="240">
        <f>35740+37003+48393</f>
        <v>121136</v>
      </c>
      <c r="C21" s="275">
        <v>48433.525999999998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2611103.44</v>
      </c>
      <c r="C22" s="231">
        <f>SUM(C19:C21)</f>
        <v>1210838.1500000001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281962.51</v>
      </c>
      <c r="C36" s="235">
        <f>'DOE25'!G199+'DOE25'!G217+'DOE25'!G235+'DOE25'!G278+'DOE25'!G297+'DOE25'!G316</f>
        <v>64406.329999999994</v>
      </c>
    </row>
    <row r="37" spans="1:3" x14ac:dyDescent="0.2">
      <c r="A37" t="s">
        <v>779</v>
      </c>
      <c r="B37" s="240">
        <f>5803+55226+75189</f>
        <v>136218</v>
      </c>
      <c r="C37" s="240">
        <f>+C36*0.48</f>
        <v>30915.038399999998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144315+1430-0.49</f>
        <v>145744.51</v>
      </c>
      <c r="C39" s="274">
        <f>+C36-C37</f>
        <v>33491.291599999997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281962.51</v>
      </c>
      <c r="C40" s="231">
        <f>SUM(C37:C39)</f>
        <v>64406.329999999994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Sanborn Regional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16627117.970000001</v>
      </c>
      <c r="D5" s="20">
        <f>SUM('DOE25'!L196:L199)+SUM('DOE25'!L214:L217)+SUM('DOE25'!L232:L235)-F5-G5</f>
        <v>16129716.020000001</v>
      </c>
      <c r="E5" s="243"/>
      <c r="F5" s="255">
        <f>SUM('DOE25'!J196:J199)+SUM('DOE25'!J214:J217)+SUM('DOE25'!J232:J235)</f>
        <v>446010.7</v>
      </c>
      <c r="G5" s="53">
        <f>SUM('DOE25'!K196:K199)+SUM('DOE25'!K214:K217)+SUM('DOE25'!K232:K235)</f>
        <v>51391.25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1996855.07</v>
      </c>
      <c r="D6" s="20">
        <f>'DOE25'!L201+'DOE25'!L219+'DOE25'!L237-F6-G6</f>
        <v>1993077.4400000002</v>
      </c>
      <c r="E6" s="243"/>
      <c r="F6" s="255">
        <f>'DOE25'!J201+'DOE25'!J219+'DOE25'!J237</f>
        <v>3194.63</v>
      </c>
      <c r="G6" s="53">
        <f>'DOE25'!K201+'DOE25'!K219+'DOE25'!K237</f>
        <v>583</v>
      </c>
      <c r="H6" s="259"/>
    </row>
    <row r="7" spans="1:9" x14ac:dyDescent="0.2">
      <c r="A7" s="32">
        <v>2200</v>
      </c>
      <c r="B7" t="s">
        <v>834</v>
      </c>
      <c r="C7" s="245">
        <f t="shared" si="0"/>
        <v>514708.22000000003</v>
      </c>
      <c r="D7" s="20">
        <f>'DOE25'!L202+'DOE25'!L220+'DOE25'!L238-F7-G7</f>
        <v>506057.21</v>
      </c>
      <c r="E7" s="243"/>
      <c r="F7" s="255">
        <f>'DOE25'!J202+'DOE25'!J220+'DOE25'!J238</f>
        <v>3751.5099999999998</v>
      </c>
      <c r="G7" s="53">
        <f>'DOE25'!K202+'DOE25'!K220+'DOE25'!K238</f>
        <v>4899.5</v>
      </c>
      <c r="H7" s="259"/>
    </row>
    <row r="8" spans="1:9" x14ac:dyDescent="0.2">
      <c r="A8" s="32">
        <v>2300</v>
      </c>
      <c r="B8" t="s">
        <v>802</v>
      </c>
      <c r="C8" s="245">
        <f t="shared" si="0"/>
        <v>319593.67999999993</v>
      </c>
      <c r="D8" s="243"/>
      <c r="E8" s="20">
        <f>'DOE25'!L203+'DOE25'!L221+'DOE25'!L239-F8-G8-D9-D11</f>
        <v>299453.90999999992</v>
      </c>
      <c r="F8" s="255">
        <f>'DOE25'!J203+'DOE25'!J221+'DOE25'!J239</f>
        <v>1058.8399999999999</v>
      </c>
      <c r="G8" s="53">
        <f>'DOE25'!K203+'DOE25'!K221+'DOE25'!K239</f>
        <v>19080.93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24160.93</v>
      </c>
      <c r="D9" s="244">
        <v>24160.93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25000</v>
      </c>
      <c r="D10" s="243"/>
      <c r="E10" s="244">
        <v>25000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316148</v>
      </c>
      <c r="D11" s="244">
        <v>316148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1640436.0299999998</v>
      </c>
      <c r="D12" s="20">
        <f>'DOE25'!L204+'DOE25'!L222+'DOE25'!L240-F12-G12</f>
        <v>1617242.9</v>
      </c>
      <c r="E12" s="243"/>
      <c r="F12" s="255">
        <f>'DOE25'!J204+'DOE25'!J222+'DOE25'!J240</f>
        <v>0</v>
      </c>
      <c r="G12" s="53">
        <f>'DOE25'!K204+'DOE25'!K222+'DOE25'!K240</f>
        <v>23193.129999999997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388649.85</v>
      </c>
      <c r="D13" s="243"/>
      <c r="E13" s="20">
        <f>'DOE25'!L205+'DOE25'!L223+'DOE25'!L241-F13-G13</f>
        <v>383710.57999999996</v>
      </c>
      <c r="F13" s="255">
        <f>'DOE25'!J205+'DOE25'!J223+'DOE25'!J241</f>
        <v>4659.2700000000004</v>
      </c>
      <c r="G13" s="53">
        <f>'DOE25'!K205+'DOE25'!K223+'DOE25'!K241</f>
        <v>280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3173190.92</v>
      </c>
      <c r="D14" s="20">
        <f>'DOE25'!L206+'DOE25'!L224+'DOE25'!L242-F14-G14</f>
        <v>3090102.71</v>
      </c>
      <c r="E14" s="243"/>
      <c r="F14" s="255">
        <f>'DOE25'!J206+'DOE25'!J224+'DOE25'!J242</f>
        <v>78613.210000000006</v>
      </c>
      <c r="G14" s="53">
        <f>'DOE25'!K206+'DOE25'!K224+'DOE25'!K242</f>
        <v>4475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1099689.6399999999</v>
      </c>
      <c r="D15" s="20">
        <f>'DOE25'!L207+'DOE25'!L225+'DOE25'!L243-F15-G15</f>
        <v>1099689.6399999999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629353.48</v>
      </c>
      <c r="D16" s="243"/>
      <c r="E16" s="20">
        <f>'DOE25'!L208+'DOE25'!L226+'DOE25'!L244-F16-G16</f>
        <v>629353.48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2500</v>
      </c>
      <c r="D19" s="20">
        <f>'DOE25'!L252-F19-G19</f>
        <v>0</v>
      </c>
      <c r="E19" s="243"/>
      <c r="F19" s="255">
        <f>'DOE25'!J252</f>
        <v>0</v>
      </c>
      <c r="G19" s="53">
        <f>'DOE25'!K252</f>
        <v>2500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416223.54000000004</v>
      </c>
      <c r="D22" s="243"/>
      <c r="E22" s="243"/>
      <c r="F22" s="255">
        <f>'DOE25'!L254+'DOE25'!L335</f>
        <v>416223.54000000004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2315015.5</v>
      </c>
      <c r="D25" s="243"/>
      <c r="E25" s="243"/>
      <c r="F25" s="258"/>
      <c r="G25" s="256"/>
      <c r="H25" s="257">
        <f>'DOE25'!L259+'DOE25'!L260+'DOE25'!L340+'DOE25'!L341</f>
        <v>2315015.5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606304.01</v>
      </c>
      <c r="D29" s="20">
        <f>'DOE25'!L357+'DOE25'!L358+'DOE25'!L359-'DOE25'!I366-F29-G29</f>
        <v>584680.01</v>
      </c>
      <c r="E29" s="243"/>
      <c r="F29" s="255">
        <f>'DOE25'!J357+'DOE25'!J358+'DOE25'!J359</f>
        <v>21624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703574.51</v>
      </c>
      <c r="D31" s="20">
        <f>'DOE25'!L289+'DOE25'!L308+'DOE25'!L327+'DOE25'!L332+'DOE25'!L333+'DOE25'!L334-F31-G31</f>
        <v>693936.51</v>
      </c>
      <c r="E31" s="243"/>
      <c r="F31" s="255">
        <f>'DOE25'!J289+'DOE25'!J308+'DOE25'!J327+'DOE25'!J332+'DOE25'!J333+'DOE25'!J334</f>
        <v>9638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26054811.370000005</v>
      </c>
      <c r="E33" s="246">
        <f>SUM(E5:E31)</f>
        <v>1337517.9699999997</v>
      </c>
      <c r="F33" s="246">
        <f>SUM(F5:F31)</f>
        <v>984773.70000000007</v>
      </c>
      <c r="G33" s="246">
        <f>SUM(G5:G31)</f>
        <v>106402.81</v>
      </c>
      <c r="H33" s="246">
        <f>SUM(H5:H31)</f>
        <v>2315015.5</v>
      </c>
    </row>
    <row r="35" spans="2:8" ht="12" thickBot="1" x14ac:dyDescent="0.25">
      <c r="B35" s="253" t="s">
        <v>847</v>
      </c>
      <c r="D35" s="254">
        <f>E33</f>
        <v>1337517.9699999997</v>
      </c>
      <c r="E35" s="249"/>
    </row>
    <row r="36" spans="2:8" ht="12" thickTop="1" x14ac:dyDescent="0.2">
      <c r="B36" t="s">
        <v>815</v>
      </c>
      <c r="D36" s="20">
        <f>D33</f>
        <v>26054811.370000005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2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Sanborn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481913.08</v>
      </c>
      <c r="D8" s="95">
        <f>'DOE25'!G9</f>
        <v>377.4</v>
      </c>
      <c r="E8" s="95">
        <f>'DOE25'!H9</f>
        <v>249136.26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280096.3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93659.260000000009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904903.96000000008</v>
      </c>
      <c r="D12" s="95">
        <f>'DOE25'!G13</f>
        <v>26491.68</v>
      </c>
      <c r="E12" s="95">
        <f>'DOE25'!H13</f>
        <v>21445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16147.75</v>
      </c>
      <c r="D13" s="95">
        <f>'DOE25'!G14</f>
        <v>13083.38</v>
      </c>
      <c r="E13" s="95">
        <f>'DOE25'!H14</f>
        <v>134766.73000000001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45386.48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1542010.5300000003</v>
      </c>
      <c r="D18" s="41">
        <f>SUM(D8:D17)</f>
        <v>39952.46</v>
      </c>
      <c r="E18" s="41">
        <f>SUM(E8:E17)</f>
        <v>405347.99</v>
      </c>
      <c r="F18" s="41">
        <f>SUM(F8:F17)</f>
        <v>0</v>
      </c>
      <c r="G18" s="41">
        <f>SUM(G8:G17)</f>
        <v>280096.3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2017.77</v>
      </c>
      <c r="E21" s="95">
        <f>'DOE25'!H22</f>
        <v>91641.49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324381.12</v>
      </c>
      <c r="D23" s="95">
        <f>'DOE25'!G24</f>
        <v>375</v>
      </c>
      <c r="E23" s="95">
        <f>'DOE25'!H24</f>
        <v>10005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14192.99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9665.33</v>
      </c>
      <c r="E29" s="95">
        <f>'DOE25'!H30</f>
        <v>8237.84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15854.789999999999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354428.89999999997</v>
      </c>
      <c r="D31" s="41">
        <f>SUM(D21:D30)</f>
        <v>12058.1</v>
      </c>
      <c r="E31" s="41">
        <f>SUM(E21:E30)</f>
        <v>109884.33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45386.48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27894.36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3576.6</v>
      </c>
      <c r="D46" s="95">
        <f>'DOE25'!G47</f>
        <v>0</v>
      </c>
      <c r="E46" s="95">
        <f>'DOE25'!H47</f>
        <v>248111.65999999997</v>
      </c>
      <c r="F46" s="95">
        <f>'DOE25'!I47</f>
        <v>0</v>
      </c>
      <c r="G46" s="95">
        <f>'DOE25'!J47</f>
        <v>280096.3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567554.89</v>
      </c>
      <c r="D47" s="95" t="str">
        <f>'DOE25'!G48</f>
        <v xml:space="preserve"> </v>
      </c>
      <c r="E47" s="95">
        <f>'DOE25'!H48</f>
        <v>47352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571063.66000000027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1187581.6300000004</v>
      </c>
      <c r="D49" s="41">
        <f>SUM(D34:D48)</f>
        <v>27894.36</v>
      </c>
      <c r="E49" s="41">
        <f>SUM(E34:E48)</f>
        <v>295463.65999999997</v>
      </c>
      <c r="F49" s="41">
        <f>SUM(F34:F48)</f>
        <v>0</v>
      </c>
      <c r="G49" s="41">
        <f>SUM(G34:G48)</f>
        <v>280096.3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1542010.5300000003</v>
      </c>
      <c r="D50" s="41">
        <f>D49+D31</f>
        <v>39952.46</v>
      </c>
      <c r="E50" s="41">
        <f>E49+E31</f>
        <v>405347.99</v>
      </c>
      <c r="F50" s="41">
        <f>F49+F31</f>
        <v>0</v>
      </c>
      <c r="G50" s="41">
        <f>G49+G31</f>
        <v>280096.3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18455669.640000001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3557944.29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4271.24</v>
      </c>
      <c r="D58" s="95">
        <f>'DOE25'!G95</f>
        <v>3.01</v>
      </c>
      <c r="E58" s="95">
        <f>'DOE25'!H95</f>
        <v>20.25</v>
      </c>
      <c r="F58" s="95">
        <f>'DOE25'!I95</f>
        <v>0</v>
      </c>
      <c r="G58" s="95">
        <f>'DOE25'!J95</f>
        <v>435.16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416950.82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58925.509999999995</v>
      </c>
      <c r="D60" s="95">
        <f>SUM('DOE25'!G97:G109)</f>
        <v>0</v>
      </c>
      <c r="E60" s="95">
        <f>SUM('DOE25'!H97:H109)</f>
        <v>136855.5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3621141.04</v>
      </c>
      <c r="D61" s="130">
        <f>SUM(D56:D60)</f>
        <v>416953.83</v>
      </c>
      <c r="E61" s="130">
        <f>SUM(E56:E60)</f>
        <v>136875.75</v>
      </c>
      <c r="F61" s="130">
        <f>SUM(F56:F60)</f>
        <v>0</v>
      </c>
      <c r="G61" s="130">
        <f>SUM(G56:G60)</f>
        <v>435.16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22076810.68</v>
      </c>
      <c r="D62" s="22">
        <f>D55+D61</f>
        <v>416953.83</v>
      </c>
      <c r="E62" s="22">
        <f>E55+E61</f>
        <v>136875.75</v>
      </c>
      <c r="F62" s="22">
        <f>F55+F61</f>
        <v>0</v>
      </c>
      <c r="G62" s="22">
        <f>G55+G61</f>
        <v>435.16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3708401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2595048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11414.4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6314863.4000000004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766879.81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153046.82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22660.13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6902.02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942586.76000000013</v>
      </c>
      <c r="D77" s="130">
        <f>SUM(D71:D76)</f>
        <v>6902.02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7257450.1600000001</v>
      </c>
      <c r="D80" s="130">
        <f>SUM(D78:D79)+D77+D69</f>
        <v>6902.02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144083.35999999999</v>
      </c>
      <c r="D87" s="95">
        <f>SUM('DOE25'!G152:G160)</f>
        <v>138351.91</v>
      </c>
      <c r="E87" s="95">
        <f>SUM('DOE25'!H152:H160)</f>
        <v>684470.94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144083.35999999999</v>
      </c>
      <c r="D90" s="131">
        <f>SUM(D84:D89)</f>
        <v>138351.91</v>
      </c>
      <c r="E90" s="131">
        <f>SUM(E84:E89)</f>
        <v>684470.94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29596.25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29596.25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29478344.199999999</v>
      </c>
      <c r="D103" s="86">
        <f>D62+D80+D90+D102</f>
        <v>591804.01</v>
      </c>
      <c r="E103" s="86">
        <f>E62+E80+E90+E102</f>
        <v>821346.69</v>
      </c>
      <c r="F103" s="86">
        <f>F62+F80+F90+F102</f>
        <v>0</v>
      </c>
      <c r="G103" s="86">
        <f>G62+G80+G102</f>
        <v>435.16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11480613.16</v>
      </c>
      <c r="D108" s="24" t="s">
        <v>289</v>
      </c>
      <c r="E108" s="95">
        <f>('DOE25'!L275)+('DOE25'!L294)+('DOE25'!L313)</f>
        <v>274313.46000000002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4431792.37</v>
      </c>
      <c r="D109" s="24" t="s">
        <v>289</v>
      </c>
      <c r="E109" s="95">
        <f>('DOE25'!L276)+('DOE25'!L295)+('DOE25'!L314)</f>
        <v>374357.26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197802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516910.44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2500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16629617.970000001</v>
      </c>
      <c r="D114" s="86">
        <f>SUM(D108:D113)</f>
        <v>0</v>
      </c>
      <c r="E114" s="86">
        <f>SUM(E108:E113)</f>
        <v>648670.71999999997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1996855.07</v>
      </c>
      <c r="D117" s="24" t="s">
        <v>289</v>
      </c>
      <c r="E117" s="95">
        <f>+('DOE25'!L280)+('DOE25'!L299)+('DOE25'!L318)</f>
        <v>54653.790000000008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514708.22000000003</v>
      </c>
      <c r="D118" s="24" t="s">
        <v>289</v>
      </c>
      <c r="E118" s="95">
        <f>+('DOE25'!L281)+('DOE25'!L300)+('DOE25'!L319)</f>
        <v>250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659902.61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1640436.0299999998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388649.85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3173190.92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1099689.6399999999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629353.48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606304.01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10102785.82</v>
      </c>
      <c r="D127" s="86">
        <f>SUM(D117:D126)</f>
        <v>606304.01</v>
      </c>
      <c r="E127" s="86">
        <f>SUM(E117:E126)</f>
        <v>54903.790000000008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416223.54000000004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1576009.92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739005.58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29596.25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435.16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-435.16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2760835.29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29493239.079999998</v>
      </c>
      <c r="D144" s="86">
        <f>(D114+D127+D143)</f>
        <v>606304.01</v>
      </c>
      <c r="E144" s="86">
        <f>(E114+E127+E143)</f>
        <v>703574.51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08/04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29770200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22013541.66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22013541.66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1576009.92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1576009.92</v>
      </c>
    </row>
    <row r="158" spans="1:9" x14ac:dyDescent="0.2">
      <c r="A158" s="22" t="s">
        <v>35</v>
      </c>
      <c r="B158" s="137">
        <f>'DOE25'!F497</f>
        <v>20437531.740000002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20437531.740000002</v>
      </c>
    </row>
    <row r="159" spans="1:9" x14ac:dyDescent="0.2">
      <c r="A159" s="22" t="s">
        <v>36</v>
      </c>
      <c r="B159" s="137">
        <f>'DOE25'!F498</f>
        <v>13636954.199999999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13636954.199999999</v>
      </c>
    </row>
    <row r="160" spans="1:9" x14ac:dyDescent="0.2">
      <c r="A160" s="22" t="s">
        <v>37</v>
      </c>
      <c r="B160" s="137">
        <f>'DOE25'!F499</f>
        <v>34074485.939999998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34074485.939999998</v>
      </c>
    </row>
    <row r="161" spans="1:7" x14ac:dyDescent="0.2">
      <c r="A161" s="22" t="s">
        <v>38</v>
      </c>
      <c r="B161" s="137">
        <f>'DOE25'!F500</f>
        <v>1495515.85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1495515.85</v>
      </c>
    </row>
    <row r="162" spans="1:7" x14ac:dyDescent="0.2">
      <c r="A162" s="22" t="s">
        <v>39</v>
      </c>
      <c r="B162" s="137">
        <f>'DOE25'!F501</f>
        <v>819874.64999999991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819874.64999999991</v>
      </c>
    </row>
    <row r="163" spans="1:7" x14ac:dyDescent="0.2">
      <c r="A163" s="22" t="s">
        <v>246</v>
      </c>
      <c r="B163" s="137">
        <f>'DOE25'!F502</f>
        <v>2315390.5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2315390.5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Sanborn Regional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15775</v>
      </c>
    </row>
    <row r="5" spans="1:4" x14ac:dyDescent="0.2">
      <c r="B5" t="s">
        <v>704</v>
      </c>
      <c r="C5" s="179">
        <f>IF('DOE25'!G664+'DOE25'!G669=0,0,ROUND('DOE25'!G671,0))</f>
        <v>14633</v>
      </c>
    </row>
    <row r="6" spans="1:4" x14ac:dyDescent="0.2">
      <c r="B6" t="s">
        <v>62</v>
      </c>
      <c r="C6" s="179">
        <f>IF('DOE25'!H664+'DOE25'!H669=0,0,ROUND('DOE25'!H671,0))</f>
        <v>13591</v>
      </c>
    </row>
    <row r="7" spans="1:4" x14ac:dyDescent="0.2">
      <c r="B7" t="s">
        <v>705</v>
      </c>
      <c r="C7" s="179">
        <f>IF('DOE25'!I664+'DOE25'!I669=0,0,ROUND('DOE25'!I671,0))</f>
        <v>14651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11754927</v>
      </c>
      <c r="D10" s="182">
        <f>ROUND((C10/$C$28)*100,1)</f>
        <v>41.4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4806150</v>
      </c>
      <c r="D11" s="182">
        <f>ROUND((C11/$C$28)*100,1)</f>
        <v>16.899999999999999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197802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516910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2051509</v>
      </c>
      <c r="D15" s="182">
        <f t="shared" ref="D15:D27" si="0">ROUND((C15/$C$28)*100,1)</f>
        <v>7.2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514958</v>
      </c>
      <c r="D16" s="182">
        <f t="shared" si="0"/>
        <v>1.8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1289256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1640436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388650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3173191</v>
      </c>
      <c r="D20" s="182">
        <f t="shared" si="0"/>
        <v>11.2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1099690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2500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739006</v>
      </c>
      <c r="D25" s="182">
        <f t="shared" si="0"/>
        <v>2.6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189353.18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28364338.18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416224</v>
      </c>
    </row>
    <row r="30" spans="1:4" x14ac:dyDescent="0.2">
      <c r="B30" s="187" t="s">
        <v>729</v>
      </c>
      <c r="C30" s="180">
        <f>SUM(C28:C29)</f>
        <v>28780562.18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1576010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18455670</v>
      </c>
      <c r="D35" s="182">
        <f t="shared" ref="D35:D40" si="1">ROUND((C35/$C$41)*100,1)</f>
        <v>60.6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3758454.5999999978</v>
      </c>
      <c r="D36" s="182">
        <f t="shared" si="1"/>
        <v>12.3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6303449</v>
      </c>
      <c r="D37" s="182">
        <f t="shared" si="1"/>
        <v>20.7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960903</v>
      </c>
      <c r="D38" s="182">
        <f t="shared" si="1"/>
        <v>3.2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966906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30445382.599999998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Sanborn Regional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2013-09-17T14:12:46Z</cp:lastPrinted>
  <dcterms:created xsi:type="dcterms:W3CDTF">1997-12-04T19:04:30Z</dcterms:created>
  <dcterms:modified xsi:type="dcterms:W3CDTF">2013-12-05T18:58:59Z</dcterms:modified>
</cp:coreProperties>
</file>