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" i="1" l="1"/>
  <c r="F116" i="1" l="1"/>
  <c r="F12" i="1" l="1"/>
  <c r="H109" i="1"/>
  <c r="G439" i="1"/>
  <c r="H399" i="1"/>
  <c r="F109" i="1"/>
  <c r="F95" i="1"/>
  <c r="F56" i="1"/>
  <c r="F23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I457" i="1"/>
  <c r="J39" i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C18" i="10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62" i="2" s="1"/>
  <c r="G58" i="2"/>
  <c r="G60" i="2"/>
  <c r="F2" i="11"/>
  <c r="L612" i="1"/>
  <c r="H662" i="1"/>
  <c r="L611" i="1"/>
  <c r="G662" i="1"/>
  <c r="L610" i="1"/>
  <c r="F662" i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9" i="10"/>
  <c r="C20" i="10"/>
  <c r="C21" i="10"/>
  <c r="L249" i="1"/>
  <c r="L331" i="1"/>
  <c r="C23" i="10"/>
  <c r="L253" i="1"/>
  <c r="C25" i="10"/>
  <c r="L267" i="1"/>
  <c r="L268" i="1"/>
  <c r="L348" i="1"/>
  <c r="L349" i="1"/>
  <c r="I664" i="1"/>
  <c r="I669" i="1"/>
  <c r="L228" i="1"/>
  <c r="L246" i="1"/>
  <c r="F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/>
  <c r="L521" i="1"/>
  <c r="F549" i="1"/>
  <c r="L522" i="1"/>
  <c r="F550" i="1" s="1"/>
  <c r="L525" i="1"/>
  <c r="G548" i="1" s="1"/>
  <c r="L526" i="1"/>
  <c r="G549" i="1" s="1"/>
  <c r="L527" i="1"/>
  <c r="G550" i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/>
  <c r="C22" i="2"/>
  <c r="D22" i="2"/>
  <c r="E22" i="2"/>
  <c r="F22" i="2"/>
  <c r="I448" i="1"/>
  <c r="J23" i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I456" i="1"/>
  <c r="J37" i="1"/>
  <c r="I458" i="1"/>
  <c r="J47" i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F80" i="2" s="1"/>
  <c r="F103" i="2" s="1"/>
  <c r="G68" i="2"/>
  <c r="G69" i="2" s="1"/>
  <c r="G80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D103" i="2" s="1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D144" i="2" s="1"/>
  <c r="F127" i="2"/>
  <c r="G127" i="2"/>
  <c r="C129" i="2"/>
  <c r="E129" i="2"/>
  <c r="F129" i="2"/>
  <c r="D133" i="2"/>
  <c r="D143" i="2"/>
  <c r="E133" i="2"/>
  <c r="F133" i="2"/>
  <c r="K418" i="1"/>
  <c r="K426" i="1"/>
  <c r="K432" i="1"/>
  <c r="L262" i="1"/>
  <c r="C134" i="2" s="1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160" i="2" s="1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G50" i="1"/>
  <c r="H50" i="1"/>
  <c r="H51" i="1" s="1"/>
  <c r="H618" i="1" s="1"/>
  <c r="J618" i="1" s="1"/>
  <c r="I50" i="1"/>
  <c r="I51" i="1"/>
  <c r="H619" i="1" s="1"/>
  <c r="J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L337" i="1" s="1"/>
  <c r="L351" i="1" s="1"/>
  <c r="G632" i="1" s="1"/>
  <c r="J632" i="1" s="1"/>
  <c r="H336" i="1"/>
  <c r="I336" i="1"/>
  <c r="J336" i="1"/>
  <c r="J337" i="1" s="1"/>
  <c r="K336" i="1"/>
  <c r="K337" i="1"/>
  <c r="K351" i="1" s="1"/>
  <c r="F361" i="1"/>
  <c r="G361" i="1"/>
  <c r="H361" i="1"/>
  <c r="I361" i="1"/>
  <c r="G633" i="1"/>
  <c r="J361" i="1"/>
  <c r="K361" i="1"/>
  <c r="I367" i="1"/>
  <c r="F368" i="1"/>
  <c r="G368" i="1"/>
  <c r="H368" i="1"/>
  <c r="I368" i="1"/>
  <c r="L380" i="1"/>
  <c r="L381" i="1" s="1"/>
  <c r="G635" i="1" s="1"/>
  <c r="J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I597" i="1"/>
  <c r="H649" i="1" s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 s="1"/>
  <c r="G649" i="1"/>
  <c r="J649" i="1" s="1"/>
  <c r="G650" i="1"/>
  <c r="J650" i="1" s="1"/>
  <c r="G651" i="1"/>
  <c r="H651" i="1"/>
  <c r="G652" i="1"/>
  <c r="H652" i="1"/>
  <c r="J652" i="1" s="1"/>
  <c r="G653" i="1"/>
  <c r="H653" i="1"/>
  <c r="H654" i="1"/>
  <c r="F191" i="1"/>
  <c r="L255" i="1"/>
  <c r="K256" i="1"/>
  <c r="K270" i="1"/>
  <c r="I256" i="1"/>
  <c r="I270" i="1"/>
  <c r="G256" i="1"/>
  <c r="G270" i="1"/>
  <c r="G159" i="2"/>
  <c r="C18" i="2"/>
  <c r="F31" i="2"/>
  <c r="C26" i="10"/>
  <c r="L327" i="1"/>
  <c r="H659" i="1"/>
  <c r="H663" i="1" s="1"/>
  <c r="H666" i="1" s="1"/>
  <c r="L350" i="1"/>
  <c r="I661" i="1"/>
  <c r="L289" i="1"/>
  <c r="A31" i="12"/>
  <c r="C69" i="2"/>
  <c r="A40" i="12"/>
  <c r="D12" i="13"/>
  <c r="C12" i="13" s="1"/>
  <c r="G161" i="2"/>
  <c r="D61" i="2"/>
  <c r="D62" i="2"/>
  <c r="E49" i="2"/>
  <c r="D18" i="13"/>
  <c r="C18" i="13" s="1"/>
  <c r="D15" i="13"/>
  <c r="C15" i="13" s="1"/>
  <c r="D7" i="13"/>
  <c r="C7" i="13" s="1"/>
  <c r="F102" i="2"/>
  <c r="D18" i="2"/>
  <c r="E18" i="2"/>
  <c r="D17" i="13"/>
  <c r="C17" i="13"/>
  <c r="D6" i="13"/>
  <c r="C6" i="13"/>
  <c r="E8" i="13"/>
  <c r="C8" i="13" s="1"/>
  <c r="G158" i="2"/>
  <c r="C90" i="2"/>
  <c r="F77" i="2"/>
  <c r="F61" i="2"/>
  <c r="F62" i="2"/>
  <c r="D31" i="2"/>
  <c r="C127" i="2"/>
  <c r="C77" i="2"/>
  <c r="D49" i="2"/>
  <c r="G156" i="2"/>
  <c r="F49" i="2"/>
  <c r="F50" i="2" s="1"/>
  <c r="F18" i="2"/>
  <c r="G162" i="2"/>
  <c r="G157" i="2"/>
  <c r="G155" i="2"/>
  <c r="E143" i="2"/>
  <c r="E114" i="2"/>
  <c r="G102" i="2"/>
  <c r="E102" i="2"/>
  <c r="C102" i="2"/>
  <c r="D90" i="2"/>
  <c r="F90" i="2"/>
  <c r="E61" i="2"/>
  <c r="E62" i="2"/>
  <c r="C61" i="2"/>
  <c r="C62" i="2"/>
  <c r="E31" i="2"/>
  <c r="E50" i="2"/>
  <c r="C31" i="2"/>
  <c r="G61" i="2"/>
  <c r="D29" i="13"/>
  <c r="C29" i="13"/>
  <c r="D19" i="13"/>
  <c r="C19" i="13"/>
  <c r="D14" i="13"/>
  <c r="C14" i="13"/>
  <c r="E13" i="13"/>
  <c r="C13" i="13" s="1"/>
  <c r="E77" i="2"/>
  <c r="E80" i="2" s="1"/>
  <c r="E103" i="2" s="1"/>
  <c r="L426" i="1"/>
  <c r="J256" i="1"/>
  <c r="J270" i="1"/>
  <c r="H111" i="1"/>
  <c r="F111" i="1"/>
  <c r="J640" i="1"/>
  <c r="J638" i="1"/>
  <c r="K604" i="1"/>
  <c r="G647" i="1"/>
  <c r="J570" i="1"/>
  <c r="K570" i="1"/>
  <c r="L432" i="1"/>
  <c r="L418" i="1"/>
  <c r="I168" i="1"/>
  <c r="H168" i="1"/>
  <c r="J643" i="1"/>
  <c r="J642" i="1"/>
  <c r="J475" i="1"/>
  <c r="H625" i="1" s="1"/>
  <c r="H475" i="1"/>
  <c r="H623" i="1" s="1"/>
  <c r="J623" i="1" s="1"/>
  <c r="F475" i="1"/>
  <c r="H621" i="1"/>
  <c r="J621" i="1"/>
  <c r="I475" i="1"/>
  <c r="H624" i="1" s="1"/>
  <c r="J624" i="1" s="1"/>
  <c r="G475" i="1"/>
  <c r="H622" i="1" s="1"/>
  <c r="J622" i="1" s="1"/>
  <c r="G337" i="1"/>
  <c r="G351" i="1"/>
  <c r="F168" i="1"/>
  <c r="J139" i="1"/>
  <c r="F570" i="1"/>
  <c r="H256" i="1"/>
  <c r="H270" i="1"/>
  <c r="G22" i="2"/>
  <c r="K597" i="1"/>
  <c r="G646" i="1"/>
  <c r="J646" i="1"/>
  <c r="K544" i="1"/>
  <c r="C29" i="10"/>
  <c r="H139" i="1"/>
  <c r="L400" i="1"/>
  <c r="C138" i="2" s="1"/>
  <c r="L392" i="1"/>
  <c r="A13" i="12"/>
  <c r="F22" i="13"/>
  <c r="C22" i="13"/>
  <c r="H25" i="13"/>
  <c r="C25" i="13" s="1"/>
  <c r="J639" i="1"/>
  <c r="H570" i="1"/>
  <c r="L559" i="1"/>
  <c r="J544" i="1"/>
  <c r="H337" i="1"/>
  <c r="H351" i="1" s="1"/>
  <c r="F337" i="1"/>
  <c r="F351" i="1" s="1"/>
  <c r="G191" i="1"/>
  <c r="H191" i="1"/>
  <c r="C35" i="10"/>
  <c r="L308" i="1"/>
  <c r="D5" i="13"/>
  <c r="C5" i="13" s="1"/>
  <c r="E16" i="13"/>
  <c r="C49" i="2"/>
  <c r="C50" i="2"/>
  <c r="J654" i="1"/>
  <c r="J644" i="1"/>
  <c r="L569" i="1"/>
  <c r="I570" i="1"/>
  <c r="I544" i="1"/>
  <c r="G36" i="2"/>
  <c r="L564" i="1"/>
  <c r="G544" i="1"/>
  <c r="L544" i="1"/>
  <c r="C137" i="2"/>
  <c r="C16" i="13"/>
  <c r="H33" i="13"/>
  <c r="C24" i="10"/>
  <c r="G659" i="1"/>
  <c r="G31" i="13"/>
  <c r="G33" i="13" s="1"/>
  <c r="I337" i="1"/>
  <c r="I351" i="1" s="1"/>
  <c r="L406" i="1"/>
  <c r="C139" i="2" s="1"/>
  <c r="I191" i="1"/>
  <c r="E90" i="2"/>
  <c r="D50" i="2"/>
  <c r="J653" i="1"/>
  <c r="G21" i="2"/>
  <c r="J32" i="1"/>
  <c r="L433" i="1"/>
  <c r="G637" i="1" s="1"/>
  <c r="J637" i="1" s="1"/>
  <c r="J433" i="1"/>
  <c r="F433" i="1"/>
  <c r="K433" i="1"/>
  <c r="G133" i="2"/>
  <c r="G143" i="2" s="1"/>
  <c r="G144" i="2" s="1"/>
  <c r="F31" i="13"/>
  <c r="H192" i="1"/>
  <c r="G628" i="1"/>
  <c r="J628" i="1" s="1"/>
  <c r="G168" i="1"/>
  <c r="C39" i="10" s="1"/>
  <c r="G139" i="1"/>
  <c r="F139" i="1"/>
  <c r="G42" i="2"/>
  <c r="F544" i="1"/>
  <c r="H433" i="1"/>
  <c r="D102" i="2"/>
  <c r="I139" i="1"/>
  <c r="A22" i="12"/>
  <c r="J651" i="1"/>
  <c r="J641" i="1"/>
  <c r="G570" i="1"/>
  <c r="I433" i="1"/>
  <c r="G433" i="1"/>
  <c r="I662" i="1"/>
  <c r="C38" i="10"/>
  <c r="J633" i="1"/>
  <c r="G660" i="1"/>
  <c r="I660" i="1" s="1"/>
  <c r="H660" i="1"/>
  <c r="L361" i="1"/>
  <c r="C27" i="10"/>
  <c r="G192" i="1"/>
  <c r="G627" i="1" s="1"/>
  <c r="J627" i="1" s="1"/>
  <c r="G51" i="1"/>
  <c r="H617" i="1"/>
  <c r="J617" i="1" s="1"/>
  <c r="G634" i="1"/>
  <c r="J634" i="1" s="1"/>
  <c r="H544" i="1"/>
  <c r="G46" i="2"/>
  <c r="G9" i="2"/>
  <c r="L407" i="1"/>
  <c r="E127" i="2"/>
  <c r="E144" i="2"/>
  <c r="D31" i="13"/>
  <c r="C31" i="13"/>
  <c r="E33" i="13"/>
  <c r="D35" i="13"/>
  <c r="L210" i="1"/>
  <c r="F659" i="1"/>
  <c r="G663" i="1"/>
  <c r="G671" i="1"/>
  <c r="C5" i="10" s="1"/>
  <c r="C80" i="2"/>
  <c r="C103" i="2" s="1"/>
  <c r="F192" i="1"/>
  <c r="G626" i="1"/>
  <c r="J626" i="1" s="1"/>
  <c r="F51" i="1"/>
  <c r="H616" i="1" s="1"/>
  <c r="J616" i="1" s="1"/>
  <c r="G636" i="1"/>
  <c r="J636" i="1" s="1"/>
  <c r="H645" i="1"/>
  <c r="L256" i="1"/>
  <c r="L270" i="1"/>
  <c r="G631" i="1" s="1"/>
  <c r="C28" i="10"/>
  <c r="D33" i="13"/>
  <c r="D36" i="13" s="1"/>
  <c r="F33" i="13"/>
  <c r="J192" i="1"/>
  <c r="G666" i="1"/>
  <c r="L570" i="1"/>
  <c r="H671" i="1"/>
  <c r="C6" i="10" s="1"/>
  <c r="J631" i="1"/>
  <c r="F663" i="1"/>
  <c r="I659" i="1"/>
  <c r="I663" i="1" s="1"/>
  <c r="I671" i="1" s="1"/>
  <c r="C7" i="10" s="1"/>
  <c r="G551" i="1"/>
  <c r="D12" i="10"/>
  <c r="D25" i="10"/>
  <c r="D16" i="10"/>
  <c r="D15" i="10"/>
  <c r="D20" i="10"/>
  <c r="D10" i="10"/>
  <c r="G645" i="1"/>
  <c r="J645" i="1" s="1"/>
  <c r="G630" i="1"/>
  <c r="F671" i="1"/>
  <c r="C4" i="10" s="1"/>
  <c r="F666" i="1"/>
  <c r="J630" i="1"/>
  <c r="D18" i="10" l="1"/>
  <c r="D26" i="10"/>
  <c r="D24" i="10"/>
  <c r="D27" i="10"/>
  <c r="D19" i="10"/>
  <c r="D21" i="10"/>
  <c r="J351" i="1"/>
  <c r="H647" i="1"/>
  <c r="J647" i="1" s="1"/>
  <c r="J551" i="1"/>
  <c r="H551" i="1"/>
  <c r="K548" i="1"/>
  <c r="I192" i="1"/>
  <c r="G629" i="1" s="1"/>
  <c r="J629" i="1" s="1"/>
  <c r="C36" i="10"/>
  <c r="I666" i="1"/>
  <c r="D22" i="10"/>
  <c r="C30" i="10"/>
  <c r="D11" i="10"/>
  <c r="D28" i="10" s="1"/>
  <c r="D13" i="10"/>
  <c r="D23" i="10"/>
  <c r="D17" i="10"/>
  <c r="C140" i="2"/>
  <c r="C143" i="2" s="1"/>
  <c r="C144" i="2" s="1"/>
  <c r="G163" i="2"/>
  <c r="G31" i="2"/>
  <c r="G8" i="2"/>
  <c r="G18" i="2" s="1"/>
  <c r="J19" i="1"/>
  <c r="G620" i="1" s="1"/>
  <c r="I551" i="1"/>
  <c r="K549" i="1"/>
  <c r="K550" i="1"/>
  <c r="F551" i="1"/>
  <c r="G103" i="2"/>
  <c r="G49" i="2"/>
  <c r="G50" i="2" s="1"/>
  <c r="G44" i="2"/>
  <c r="J50" i="1"/>
  <c r="F143" i="2"/>
  <c r="F144" i="2" s="1"/>
  <c r="J51" i="1" l="1"/>
  <c r="H620" i="1" s="1"/>
  <c r="G625" i="1"/>
  <c r="J625" i="1" s="1"/>
  <c r="J620" i="1"/>
  <c r="H655" i="1"/>
  <c r="C41" i="10"/>
  <c r="D36" i="10"/>
  <c r="K551" i="1"/>
  <c r="D38" i="10" l="1"/>
  <c r="D37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<sst xmlns="http://schemas.openxmlformats.org/spreadsheetml/2006/main" count="3947" uniqueCount="913">
  <si>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</si>
  <si>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</si>
  <si>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</si>
  <si>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</si>
  <si>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</si>
  <si>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</si>
  <si>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</si>
  <si>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</si>
  <si>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</si>
  <si>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</si>
  <si>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</si>
  <si>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</si>
  <si>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</si>
  <si>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</si>
  <si>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</si>
  <si>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</si>
  <si>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</si>
  <si>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</si>
  <si>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</si>
  <si>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</si>
  <si>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</si>
  <si>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</si>
  <si>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</si>
  <si>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</si>
  <si>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</si>
  <si>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</si>
  <si>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</si>
  <si>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</si>
  <si>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</si>
  <si>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</si>
  <si>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</si>
  <si>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</si>
  <si>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</si>
  <si>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</si>
  <si>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</si>
  <si>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</si>
  <si>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</si>
  <si>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</si>
  <si>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</si>
  <si>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</si>
  <si>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</si>
  <si>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</si>
  <si>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</si>
  <si>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</si>
  <si>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</si>
  <si>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</si>
  <si>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</si>
  <si>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</si>
  <si>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</si>
  <si>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</si>
  <si>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</si>
  <si>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</si>
  <si>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</si>
  <si>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</si>
  <si>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</si>
  <si>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</si>
  <si>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</si>
  <si>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</si>
  <si>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</si>
  <si>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</si>
  <si>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</si>
  <si>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</si>
  <si>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</si>
  <si>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</si>
  <si>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</si>
  <si>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</si>
  <si>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</si>
  <si>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</si>
  <si>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</si>
  <si>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</si>
  <si>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</si>
  <si>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</si>
  <si>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</si>
  <si>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</si>
  <si>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</si>
  <si>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</si>
  <si>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</si>
  <si>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</si>
  <si>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</si>
  <si>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</si>
  <si>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</si>
  <si>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</si>
  <si>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</si>
  <si>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</si>
  <si>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</si>
  <si>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</si>
  <si>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</si>
  <si>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</si>
  <si>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</si>
  <si>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</si>
  <si>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</si>
  <si>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</si>
  <si>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</si>
  <si>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</si>
  <si>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</si>
  <si>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</si>
  <si>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</si>
  <si>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</si>
  <si>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</si>
  <si>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</si>
  <si>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</si>
  <si>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</si>
  <si>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</si>
  <si>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</si>
  <si>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</si>
  <si>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</si>
  <si>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</si>
  <si>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</si>
  <si>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</si>
  <si>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</si>
  <si>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</si>
  <si>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</si>
  <si>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</si>
  <si>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</si>
  <si>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</si>
  <si>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</si>
  <si>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</si>
  <si>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</si>
  <si>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</si>
  <si>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</si>
  <si>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</si>
  <si>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</si>
  <si>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</si>
  <si>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</si>
  <si>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</si>
  <si>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</si>
  <si>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</si>
  <si>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</si>
  <si>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</si>
  <si>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</si>
  <si>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</si>
  <si>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</si>
  <si>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</si>
  <si>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</si>
  <si>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</si>
  <si>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</si>
  <si>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</si>
  <si>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</si>
  <si>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</si>
  <si>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</si>
  <si>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</si>
  <si>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</si>
  <si>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</si>
  <si>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</si>
  <si>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</si>
  <si>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</si>
  <si>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</si>
  <si>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</si>
  <si>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</si>
  <si>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</si>
  <si>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</si>
  <si>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</si>
  <si>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</si>
  <si>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</si>
  <si>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</si>
  <si>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</si>
  <si>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</si>
  <si>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</si>
  <si>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</si>
  <si>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</si>
  <si>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</si>
  <si>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</si>
  <si>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</si>
  <si>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</si>
  <si>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</si>
  <si>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</si>
  <si>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</si>
  <si>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</si>
  <si>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</si>
  <si>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</si>
  <si>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</si>
  <si>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</si>
  <si>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</si>
  <si>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</si>
  <si>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</si>
  <si>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</si>
  <si>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</si>
  <si>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</si>
  <si>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</si>
  <si>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</si>
  <si>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</si>
  <si>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</si>
  <si>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</si>
  <si>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</si>
  <si>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</si>
  <si>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</si>
  <si>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</si>
  <si>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</si>
  <si>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</si>
  <si>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</si>
  <si>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</si>
  <si>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</si>
  <si>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</si>
  <si>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</si>
  <si>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</si>
  <si>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</si>
  <si>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</si>
  <si>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</si>
  <si>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</si>
  <si>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</si>
  <si>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</si>
  <si>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</si>
  <si>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</si>
  <si>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</si>
  <si>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</si>
  <si>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</si>
  <si>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</si>
  <si>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</si>
  <si>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</si>
  <si>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</si>
  <si>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</si>
  <si>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</si>
  <si>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</si>
  <si>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</si>
  <si>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</si>
  <si>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</si>
  <si>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</si>
  <si>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</si>
  <si>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</si>
  <si>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</si>
  <si>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</si>
  <si>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</si>
  <si>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</si>
  <si>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</si>
  <si>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</si>
  <si>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</si>
  <si>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</si>
  <si>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</si>
  <si>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</si>
  <si>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</si>
  <si>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</si>
  <si>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</si>
  <si>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</si>
  <si>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</si>
  <si>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</si>
  <si>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</si>
  <si>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</si>
  <si>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</si>
  <si>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</si>
  <si>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</si>
  <si>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</si>
  <si>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</si>
  <si>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</si>
  <si>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</si>
  <si>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</si>
  <si>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</si>
  <si>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</si>
  <si>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</si>
  <si>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</si>
  <si>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</si>
  <si>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</si>
  <si>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</si>
  <si>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</si>
  <si>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</si>
  <si>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</si>
  <si>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</si>
  <si>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</si>
  <si>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</si>
  <si>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</si>
  <si>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</si>
  <si>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</si>
  <si>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</si>
  <si>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</si>
  <si>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</si>
  <si>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</si>
  <si>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</si>
  <si>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</si>
  <si>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</si>
  <si>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</si>
  <si>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</si>
  <si>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</si>
  <si>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</si>
  <si>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</si>
  <si>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</si>
  <si>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</si>
  <si>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</si>
  <si>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</si>
  <si>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</si>
  <si>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</si>
  <si>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</si>
  <si>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</si>
  <si>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</si>
  <si>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</si>
  <si>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</si>
  <si>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</si>
  <si>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</si>
  <si>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</si>
  <si>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</si>
  <si>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</si>
  <si>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</si>
  <si>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</si>
  <si>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</si>
  <si>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</si>
  <si>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</si>
  <si>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</si>
  <si>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</si>
  <si>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</si>
  <si>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</si>
  <si>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</si>
  <si>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</si>
  <si>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</si>
  <si>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</si>
  <si>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</si>
  <si>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</si>
  <si>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</si>
  <si>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</si>
  <si>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</si>
  <si>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</si>
  <si>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</si>
  <si>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</si>
  <si>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</si>
  <si>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</si>
  <si>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</si>
  <si>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</si>
  <si>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</si>
  <si>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</si>
  <si>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</si>
  <si>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</si>
  <si>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</si>
  <si>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</si>
  <si>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</si>
  <si>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</si>
  <si>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</si>
  <si>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</si>
  <si>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</si>
  <si>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</si>
  <si>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</si>
  <si>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</si>
  <si>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</si>
  <si>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</si>
  <si>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</si>
  <si>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</si>
  <si>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</si>
  <si>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</si>
  <si>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</si>
  <si>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</si>
  <si>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</si>
  <si>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</si>
  <si>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</si>
  <si>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</si>
  <si>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</si>
  <si>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</si>
  <si>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</si>
  <si>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</si>
  <si>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</si>
  <si>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</si>
  <si>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</si>
  <si>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</si>
  <si>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</si>
  <si>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</si>
  <si>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</si>
  <si>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</si>
  <si>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</si>
  <si>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</si>
  <si>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</si>
  <si>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</si>
  <si>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</si>
  <si>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</si>
  <si>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</si>
  <si>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</si>
  <si>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</si>
  <si>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</si>
  <si>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</si>
  <si>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</si>
  <si>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</si>
  <si>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</si>
  <si>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</si>
  <si>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</si>
  <si>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</si>
  <si>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</si>
  <si>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</si>
  <si>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</si>
  <si>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</si>
  <si>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</si>
  <si>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</si>
  <si>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</si>
  <si>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</si>
  <si>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</si>
  <si>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</si>
  <si>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</si>
  <si>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</si>
  <si>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</si>
  <si>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</si>
  <si>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</si>
  <si>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</si>
  <si>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</si>
  <si>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</si>
  <si>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</si>
  <si>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</si>
  <si>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</si>
  <si>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</si>
  <si>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</si>
  <si>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</si>
  <si>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</si>
  <si>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</si>
  <si>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</si>
  <si>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</si>
  <si>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</si>
  <si>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</si>
  <si>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</si>
  <si>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</si>
  <si>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</si>
  <si>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</si>
  <si>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</si>
  <si>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</si>
  <si>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</si>
  <si>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</si>
  <si>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</si>
  <si>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</si>
  <si>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</si>
  <si>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</si>
  <si>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</si>
  <si>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</si>
  <si>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</si>
  <si>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</si>
  <si>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</si>
  <si>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</si>
  <si>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</si>
  <si>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</si>
  <si>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</si>
  <si>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</si>
  <si>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</si>
  <si>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</si>
  <si>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</si>
  <si>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</si>
  <si>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</si>
  <si>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</si>
  <si>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</si>
  <si>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</si>
  <si>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</si>
  <si>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</si>
  <si>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</si>
  <si>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</si>
  <si>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</si>
  <si>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</si>
  <si>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</si>
  <si>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</si>
  <si>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</si>
  <si>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</si>
  <si>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</si>
  <si>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</si>
  <si>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</si>
  <si>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</si>
  <si>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</si>
  <si>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</si>
  <si>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</si>
  <si>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</si>
  <si>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</si>
  <si>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</si>
  <si>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</si>
  <si>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</si>
  <si>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</si>
  <si>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</si>
  <si>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</si>
  <si>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</si>
  <si>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</si>
  <si>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</si>
  <si>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</si>
  <si>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</si>
  <si>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</si>
  <si>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</si>
  <si>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</si>
  <si>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</si>
  <si>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</si>
  <si>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</si>
  <si>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</si>
  <si>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</si>
  <si>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</si>
  <si>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</si>
  <si>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</si>
  <si>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</si>
  <si>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</si>
  <si>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</si>
  <si>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</si>
  <si>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</si>
  <si>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</si>
  <si>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</si>
  <si>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</si>
  <si>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</si>
  <si>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</si>
  <si>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</si>
  <si>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</si>
  <si>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</si>
  <si>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</si>
  <si>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</si>
  <si>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</si>
  <si>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</si>
  <si>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</si>
  <si>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</si>
  <si>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</si>
  <si>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</si>
  <si>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</si>
  <si>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</si>
  <si>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</si>
  <si>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</si>
  <si>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</si>
  <si>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</si>
  <si>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</si>
  <si>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</si>
  <si>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</si>
  <si>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</si>
  <si>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</si>
  <si>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</si>
  <si>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</si>
  <si>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</si>
  <si>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</si>
  <si>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</si>
  <si>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</si>
  <si>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</si>
  <si>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</si>
  <si>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</si>
  <si>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</si>
  <si>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</si>
  <si>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</si>
  <si>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</si>
  <si>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</si>
  <si>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</si>
  <si>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</si>
  <si>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</si>
  <si>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</si>
  <si>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</si>
  <si>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</si>
  <si>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</si>
  <si>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</si>
  <si>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</si>
  <si>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</si>
  <si>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</si>
  <si>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</si>
  <si>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</si>
  <si>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</si>
  <si>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</si>
  <si>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</si>
  <si>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</si>
  <si>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</si>
  <si>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</si>
  <si>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</si>
  <si>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</si>
  <si>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</si>
  <si>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</si>
  <si>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</si>
  <si>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</si>
  <si>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</si>
  <si>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</si>
  <si>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</si>
  <si>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</si>
  <si>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</si>
  <si>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</si>
  <si>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</si>
  <si>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</si>
  <si>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</si>
  <si>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</si>
  <si>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</si>
  <si>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</si>
  <si>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</si>
  <si>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</si>
  <si>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</si>
  <si>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</si>
  <si>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</si>
  <si>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</si>
  <si>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</si>
  <si>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</si>
  <si>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</si>
  <si>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</si>
  <si>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</si>
  <si>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</si>
  <si>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</si>
  <si>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</si>
  <si>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</si>
  <si>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</si>
  <si>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</si>
  <si>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</si>
  <si>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</si>
  <si>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</si>
  <si>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</si>
  <si>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</si>
  <si>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</si>
  <si>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</si>
  <si>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</si>
  <si>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</si>
  <si>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</si>
  <si>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</si>
  <si>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</si>
  <si>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</si>
  <si>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</si>
  <si>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</si>
  <si>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</si>
  <si>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</si>
  <si>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</si>
  <si>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</si>
  <si>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</si>
  <si>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</si>
  <si>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</si>
  <si>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</si>
  <si>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</si>
  <si>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</si>
  <si>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</si>
  <si>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</si>
  <si>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</si>
  <si>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</si>
  <si>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</si>
  <si>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</si>
  <si>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</si>
  <si>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</si>
  <si>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</si>
  <si>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</si>
  <si>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</si>
  <si>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</si>
  <si>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</si>
  <si>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</si>
  <si>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</si>
  <si>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</si>
  <si>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</si>
  <si>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</si>
  <si>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</si>
  <si>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</si>
  <si>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</si>
  <si>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</si>
  <si>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</si>
  <si>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</si>
  <si>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</si>
  <si>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</si>
  <si>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</si>
  <si>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</si>
  <si>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</si>
  <si>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</si>
  <si>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</si>
  <si>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</si>
  <si>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</si>
  <si>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</si>
  <si>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</si>
  <si>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</si>
  <si>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</si>
  <si>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</si>
  <si>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</si>
  <si>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</si>
  <si>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</si>
  <si>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</si>
  <si>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</si>
  <si>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</si>
  <si>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</si>
  <si>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</si>
  <si>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</si>
  <si>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</si>
  <si>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</si>
  <si>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</si>
  <si>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</si>
  <si>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</si>
  <si>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</si>
  <si>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</si>
  <si>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</si>
  <si>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</si>
  <si>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</si>
  <si>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</si>
  <si>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</si>
  <si>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</si>
  <si>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</si>
  <si>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</si>
  <si>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</si>
  <si>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</si>
  <si>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</si>
  <si>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</si>
  <si>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</si>
  <si>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</si>
  <si>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</si>
  <si>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</si>
  <si>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</si>
  <si>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</si>
  <si>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</si>
  <si>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</si>
  <si>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</si>
  <si>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</si>
  <si>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</si>
  <si>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</si>
  <si>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</si>
  <si>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</si>
  <si>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</si>
  <si>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</si>
  <si>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</si>
  <si>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</si>
  <si>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</si>
  <si>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</si>
  <si>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</si>
  <si>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</si>
  <si>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</si>
  <si>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</si>
  <si>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</si>
  <si>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</si>
  <si>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</si>
  <si>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</si>
  <si>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</si>
  <si>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</si>
  <si>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</si>
  <si>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</si>
  <si>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</si>
  <si>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</si>
  <si>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</si>
  <si>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</si>
  <si>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</si>
  <si>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</si>
  <si>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</si>
  <si>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</si>
  <si>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</si>
  <si>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</si>
  <si>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</si>
  <si>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</si>
  <si>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</si>
  <si>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</si>
  <si>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</si>
  <si>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</si>
  <si>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</si>
  <si>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</si>
  <si>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</si>
  <si>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</si>
  <si>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</si>
  <si>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</si>
  <si>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</si>
  <si>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</si>
  <si>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</si>
  <si>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</si>
  <si>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</si>
  <si>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</si>
  <si>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</si>
  <si>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</si>
  <si>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</si>
  <si>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</si>
  <si>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</si>
  <si>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</si>
  <si>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</si>
  <si>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</si>
  <si>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</si>
  <si>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</si>
  <si>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</si>
  <si>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</si>
  <si>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</si>
  <si>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</si>
  <si>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</si>
  <si>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</si>
  <si>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</si>
  <si>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</si>
  <si>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</si>
  <si>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</si>
  <si>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</si>
  <si>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</si>
  <si>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</si>
  <si>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</si>
  <si>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</si>
  <si>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</si>
  <si>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</si>
  <si>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</si>
  <si>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</si>
  <si>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</si>
  <si>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</si>
  <si>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</si>
  <si>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</si>
  <si>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</si>
  <si>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</si>
  <si>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</si>
  <si>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</si>
  <si>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</si>
  <si>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</si>
  <si>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</si>
  <si>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</si>
  <si>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</si>
  <si>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</si>
  <si>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</si>
  <si>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</si>
  <si>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</si>
  <si>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</si>
  <si>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</si>
  <si>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</si>
  <si>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</si>
  <si>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</si>
  <si>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</si>
  <si>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</si>
  <si>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</si>
  <si>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</si>
  <si>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</si>
  <si>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</si>
  <si>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</si>
  <si>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</si>
  <si>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</si>
  <si>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</si>
  <si>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</si>
  <si>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</si>
  <si>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</si>
  <si>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</si>
  <si>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</si>
  <si>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</si>
  <si>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</si>
  <si>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</si>
  <si>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</si>
  <si>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</si>
  <si>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</si>
  <si>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</si>
  <si>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</si>
  <si>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</si>
  <si>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</si>
  <si>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</si>
  <si>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</si>
  <si>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</si>
  <si>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</si>
  <si>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</si>
  <si>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</si>
  <si>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</si>
  <si>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</si>
  <si>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</si>
  <si>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</si>
  <si>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</si>
  <si>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</si>
  <si>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</si>
  <si>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</si>
  <si>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</si>
  <si>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</si>
  <si>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</si>
  <si>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</si>
  <si>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</si>
  <si>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</si>
  <si>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</si>
  <si>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</si>
  <si>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</si>
  <si>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</si>
  <si>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</si>
  <si>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</si>
  <si>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</si>
  <si>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</si>
  <si>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</si>
  <si>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</si>
  <si>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</si>
  <si>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</si>
  <si>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</si>
  <si>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</si>
  <si>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</si>
  <si>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</si>
  <si>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</si>
  <si>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</si>
  <si>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</si>
  <si>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</si>
  <si>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</si>
  <si>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</si>
  <si>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</si>
  <si>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</si>
  <si>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</si>
  <si>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</si>
  <si>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</si>
  <si>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</si>
  <si>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</si>
  <si>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</si>
  <si>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</si>
  <si>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</si>
  <si>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</si>
  <si>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</si>
  <si>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</si>
  <si>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</si>
  <si>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</si>
  <si>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</si>
  <si>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</si>
  <si>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</si>
  <si>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</si>
  <si>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</si>
  <si>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</si>
  <si>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</si>
  <si>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</si>
  <si>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</si>
  <si>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</si>
  <si>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</si>
  <si>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</si>
  <si>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</si>
  <si>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</si>
  <si>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</si>
  <si>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</si>
  <si>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</si>
  <si>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</si>
  <si>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</si>
  <si>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</si>
  <si>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</si>
  <si>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</si>
  <si>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</si>
  <si>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</si>
  <si>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</si>
  <si>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</si>
  <si>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</si>
  <si>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</si>
  <si>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</si>
  <si>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</si>
  <si>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</si>
  <si>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</si>
  <si>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</si>
  <si>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</si>
  <si>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</si>
  <si>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</si>
  <si>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</si>
  <si>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</si>
  <si>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</si>
  <si>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</si>
  <si>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</si>
  <si>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</si>
  <si>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</si>
  <si>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</si>
  <si>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</si>
  <si>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</si>
  <si>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</si>
  <si>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</si>
  <si>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</si>
  <si>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</si>
  <si>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</si>
  <si>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</si>
  <si>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</si>
  <si>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</si>
  <si>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</si>
  <si>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Shaker Regional School District</t>
  </si>
  <si>
    <t>8/97</t>
  </si>
  <si>
    <t>8/12</t>
  </si>
  <si>
    <t xml:space="preserve">Charter School Sped Reimbrusement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</si>
</sst>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62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486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544583.04</v>
      </c>
      <c r="G9" s="18">
        <v>14909.01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2697.34</v>
      </c>
      <c r="G10" s="18"/>
      <c r="H10" s="18"/>
      <c r="I10" s="18"/>
      <c r="J10" s="67">
        <f>SUM(I439)</f>
        <v>519823.03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287207.79</f>
        <v>287207.78999999998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7660</v>
      </c>
      <c r="G13" s="18">
        <v>57954.080000000002</v>
      </c>
      <c r="H13" s="18">
        <v>255645.73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3560.93</v>
      </c>
      <c r="G14" s="18">
        <v>3995.77</v>
      </c>
      <c r="H14" s="18">
        <v>2395.41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33333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879042.1</v>
      </c>
      <c r="G19" s="41">
        <f>SUM(G9:G18)</f>
        <v>76858.86</v>
      </c>
      <c r="H19" s="41">
        <f>SUM(H9:H18)</f>
        <v>258041.14</v>
      </c>
      <c r="I19" s="41">
        <f>SUM(I9:I18)</f>
        <v>0</v>
      </c>
      <c r="J19" s="41">
        <f>SUM(J9:J18)</f>
        <v>519823.03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62016.76</v>
      </c>
      <c r="H22" s="18">
        <v>251635.67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f>43873.97+150</f>
        <v>44023.97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21223.07</v>
      </c>
      <c r="G24" s="18"/>
      <c r="H24" s="18">
        <v>3263.52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>
        <v>418.35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777.3</v>
      </c>
      <c r="G30" s="18">
        <v>6696.75</v>
      </c>
      <c r="H30" s="18">
        <v>3141.95</v>
      </c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66024.34</v>
      </c>
      <c r="G32" s="41">
        <f>SUM(G22:G31)</f>
        <v>69131.86</v>
      </c>
      <c r="H32" s="41">
        <f>SUM(H22:H31)</f>
        <v>258041.14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>
        <v>7727</v>
      </c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51687</v>
      </c>
      <c r="G47" s="18"/>
      <c r="H47" s="18"/>
      <c r="I47" s="18"/>
      <c r="J47" s="13">
        <f>SUM(I458)</f>
        <v>519823.03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164735.92000000001</v>
      </c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208870.44+0.4+337724</f>
        <v>546594.84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813017.76</v>
      </c>
      <c r="G50" s="41">
        <f>SUM(G35:G49)</f>
        <v>7727</v>
      </c>
      <c r="H50" s="41">
        <f>SUM(H35:H49)</f>
        <v>0</v>
      </c>
      <c r="I50" s="41">
        <f>SUM(I35:I49)</f>
        <v>0</v>
      </c>
      <c r="J50" s="41">
        <f>SUM(J35:J49)</f>
        <v>519823.03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879042.1</v>
      </c>
      <c r="G51" s="41">
        <f>G50+G32</f>
        <v>76858.86</v>
      </c>
      <c r="H51" s="41">
        <f>H50+H32</f>
        <v>258041.14</v>
      </c>
      <c r="I51" s="41">
        <f>I50+I32</f>
        <v>0</v>
      </c>
      <c r="J51" s="41">
        <f>J50+J32</f>
        <v>519823.03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3325150+7991253</f>
        <v>11316403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11316403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1050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1050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f>556.46+4.22</f>
        <v>560.68000000000006</v>
      </c>
      <c r="G95" s="18">
        <v>59.43</v>
      </c>
      <c r="H95" s="18"/>
      <c r="I95" s="18"/>
      <c r="J95" s="18">
        <v>380.1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254637.23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6096.44-150</f>
        <v>5946.44</v>
      </c>
      <c r="G109" s="18"/>
      <c r="H109" s="18">
        <f>33418.21</f>
        <v>33418.21</v>
      </c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6507.12</v>
      </c>
      <c r="G110" s="41">
        <f>SUM(G95:G109)</f>
        <v>254696.66</v>
      </c>
      <c r="H110" s="41">
        <f>SUM(H95:H109)</f>
        <v>33418.21</v>
      </c>
      <c r="I110" s="41">
        <f>SUM(I95:I109)</f>
        <v>0</v>
      </c>
      <c r="J110" s="41">
        <f>SUM(J95:J109)</f>
        <v>380.1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11323960.119999999</v>
      </c>
      <c r="G111" s="41">
        <f>G59+G110</f>
        <v>254696.66</v>
      </c>
      <c r="H111" s="41">
        <f>H59+H78+H93+H110</f>
        <v>33418.21</v>
      </c>
      <c r="I111" s="41">
        <f>I59+I110</f>
        <v>0</v>
      </c>
      <c r="J111" s="41">
        <f>J59+J110</f>
        <v>380.1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4599336.04-631.04</f>
        <v>4598705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2192557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631.04</v>
      </c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6791893.04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259004.76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80994.960000000006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12622.31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7665.51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352622.03</v>
      </c>
      <c r="G135" s="41">
        <f>SUM(G122:G134)</f>
        <v>7665.51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7144515.0700000003</v>
      </c>
      <c r="G139" s="41">
        <f>G120+SUM(G135:G136)</f>
        <v>7665.51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380387.72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37423.71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289482.55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350597.49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151588.47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151588.47</v>
      </c>
      <c r="G161" s="41">
        <f>SUM(G149:G160)</f>
        <v>289482.55</v>
      </c>
      <c r="H161" s="41">
        <f>SUM(H149:H160)</f>
        <v>768408.91999999993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151588.47</v>
      </c>
      <c r="G168" s="41">
        <f>G146+G161+SUM(G162:G167)</f>
        <v>289482.55</v>
      </c>
      <c r="H168" s="41">
        <f>H146+H161+SUM(H162:H167)</f>
        <v>768408.91999999993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74066.33</v>
      </c>
      <c r="H178" s="18"/>
      <c r="I178" s="18"/>
      <c r="J178" s="18">
        <v>200000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74066.33</v>
      </c>
      <c r="H182" s="41">
        <f>SUM(H178:H181)</f>
        <v>0</v>
      </c>
      <c r="I182" s="41">
        <f>SUM(I178:I181)</f>
        <v>0</v>
      </c>
      <c r="J182" s="41">
        <f>SUM(J178:J181)</f>
        <v>200000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64200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64200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64200</v>
      </c>
      <c r="G191" s="41">
        <f>G182+SUM(G187:G190)</f>
        <v>74066.33</v>
      </c>
      <c r="H191" s="41">
        <f>+H182+SUM(H187:H190)</f>
        <v>0</v>
      </c>
      <c r="I191" s="41">
        <f>I176+I182+SUM(I187:I190)</f>
        <v>0</v>
      </c>
      <c r="J191" s="41">
        <f>J182</f>
        <v>200000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18684263.659999996</v>
      </c>
      <c r="G192" s="47">
        <f>G111+G139+G168+G191</f>
        <v>625911.04999999993</v>
      </c>
      <c r="H192" s="47">
        <f>H111+H139+H168+H191</f>
        <v>801827.12999999989</v>
      </c>
      <c r="I192" s="47">
        <f>I111+I139+I168+I191</f>
        <v>0</v>
      </c>
      <c r="J192" s="47">
        <f>J111+J139+J191</f>
        <v>200380.1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2090108.59</v>
      </c>
      <c r="G196" s="18">
        <v>825817.67</v>
      </c>
      <c r="H196" s="18">
        <v>3233.11</v>
      </c>
      <c r="I196" s="18">
        <v>88722.61</v>
      </c>
      <c r="J196" s="18">
        <v>635.92999999999995</v>
      </c>
      <c r="K196" s="18"/>
      <c r="L196" s="19">
        <f>SUM(F196:K196)</f>
        <v>3008517.91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517086.51</v>
      </c>
      <c r="G197" s="18">
        <v>262859.53000000003</v>
      </c>
      <c r="H197" s="18">
        <v>17.11</v>
      </c>
      <c r="I197" s="18">
        <v>2070.14</v>
      </c>
      <c r="J197" s="18">
        <v>355.2</v>
      </c>
      <c r="K197" s="18"/>
      <c r="L197" s="19">
        <f>SUM(F197:K197)</f>
        <v>782388.49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29972.35</v>
      </c>
      <c r="G199" s="18">
        <v>5053.5600000000004</v>
      </c>
      <c r="H199" s="18">
        <v>5100</v>
      </c>
      <c r="I199" s="18">
        <v>215.47</v>
      </c>
      <c r="J199" s="18"/>
      <c r="K199" s="18"/>
      <c r="L199" s="19">
        <f>SUM(F199:K199)</f>
        <v>40341.379999999997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480367.84</v>
      </c>
      <c r="G201" s="18">
        <v>204752.57</v>
      </c>
      <c r="H201" s="18">
        <v>32319.5</v>
      </c>
      <c r="I201" s="18">
        <v>1274.0899999999999</v>
      </c>
      <c r="J201" s="18"/>
      <c r="K201" s="18">
        <v>562.03</v>
      </c>
      <c r="L201" s="19">
        <f t="shared" ref="L201:L207" si="0">SUM(F201:K201)</f>
        <v>719276.03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178510.29</v>
      </c>
      <c r="G202" s="18">
        <v>105776</v>
      </c>
      <c r="H202" s="18">
        <v>24924.68</v>
      </c>
      <c r="I202" s="18">
        <v>11460.6</v>
      </c>
      <c r="J202" s="18">
        <v>36957.769999999997</v>
      </c>
      <c r="K202" s="18">
        <v>485.22</v>
      </c>
      <c r="L202" s="19">
        <f t="shared" si="0"/>
        <v>358114.56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62632.76</v>
      </c>
      <c r="G203" s="18">
        <v>19068.689999999999</v>
      </c>
      <c r="H203" s="18">
        <v>26331.43</v>
      </c>
      <c r="I203" s="18">
        <v>2310.44</v>
      </c>
      <c r="J203" s="18">
        <v>299.14999999999998</v>
      </c>
      <c r="K203" s="18">
        <v>5838.4</v>
      </c>
      <c r="L203" s="19">
        <f t="shared" si="0"/>
        <v>116480.87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306988.51</v>
      </c>
      <c r="G204" s="18">
        <v>108589.46</v>
      </c>
      <c r="H204" s="18">
        <v>16540.810000000001</v>
      </c>
      <c r="I204" s="18">
        <v>3739.52</v>
      </c>
      <c r="J204" s="18"/>
      <c r="K204" s="18">
        <v>2160</v>
      </c>
      <c r="L204" s="19">
        <f t="shared" si="0"/>
        <v>438018.30000000005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74905.399999999994</v>
      </c>
      <c r="G205" s="18">
        <v>27360.15</v>
      </c>
      <c r="H205" s="18">
        <v>9559.68</v>
      </c>
      <c r="I205" s="18">
        <v>1172.99</v>
      </c>
      <c r="J205" s="18">
        <v>82.35</v>
      </c>
      <c r="K205" s="18">
        <v>602.51</v>
      </c>
      <c r="L205" s="19">
        <f t="shared" si="0"/>
        <v>113683.07999999999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158862.94</v>
      </c>
      <c r="G206" s="18">
        <v>64386.55</v>
      </c>
      <c r="H206" s="18">
        <v>119841.19</v>
      </c>
      <c r="I206" s="18">
        <v>154913.42000000001</v>
      </c>
      <c r="J206" s="18">
        <v>1774.38</v>
      </c>
      <c r="K206" s="18"/>
      <c r="L206" s="19">
        <f t="shared" si="0"/>
        <v>499778.48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366968.67</v>
      </c>
      <c r="I207" s="18"/>
      <c r="J207" s="18"/>
      <c r="K207" s="18"/>
      <c r="L207" s="19">
        <f t="shared" si="0"/>
        <v>366968.67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3899435.1899999995</v>
      </c>
      <c r="G210" s="41">
        <f t="shared" si="1"/>
        <v>1623664.1800000002</v>
      </c>
      <c r="H210" s="41">
        <f t="shared" si="1"/>
        <v>604836.17999999993</v>
      </c>
      <c r="I210" s="41">
        <f t="shared" si="1"/>
        <v>265879.28000000003</v>
      </c>
      <c r="J210" s="41">
        <f t="shared" si="1"/>
        <v>40104.779999999992</v>
      </c>
      <c r="K210" s="41">
        <f t="shared" si="1"/>
        <v>9648.16</v>
      </c>
      <c r="L210" s="41">
        <f t="shared" si="1"/>
        <v>6443567.7699999996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1916038.03</v>
      </c>
      <c r="G214" s="18">
        <v>783333.95</v>
      </c>
      <c r="H214" s="18">
        <v>1128.75</v>
      </c>
      <c r="I214" s="18">
        <v>51234.25</v>
      </c>
      <c r="J214" s="18">
        <v>2240.6999999999998</v>
      </c>
      <c r="K214" s="18"/>
      <c r="L214" s="19">
        <f>SUM(F214:K214)</f>
        <v>2753975.68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451427.25</v>
      </c>
      <c r="G215" s="18">
        <v>168112.6</v>
      </c>
      <c r="H215" s="18">
        <v>186048.31</v>
      </c>
      <c r="I215" s="18">
        <v>9835.07</v>
      </c>
      <c r="J215" s="18">
        <v>330</v>
      </c>
      <c r="K215" s="18">
        <v>1306.75</v>
      </c>
      <c r="L215" s="19">
        <f>SUM(F215:K215)</f>
        <v>817059.97999999986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44349.2</v>
      </c>
      <c r="G217" s="18">
        <v>7387.59</v>
      </c>
      <c r="H217" s="18">
        <v>7186.3</v>
      </c>
      <c r="I217" s="18">
        <v>4997.72</v>
      </c>
      <c r="J217" s="18">
        <v>79.959999999999994</v>
      </c>
      <c r="K217" s="18">
        <v>3090</v>
      </c>
      <c r="L217" s="19">
        <f>SUM(F217:K217)</f>
        <v>67090.76999999999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331476.24</v>
      </c>
      <c r="G219" s="18">
        <v>134934.45000000001</v>
      </c>
      <c r="H219" s="18">
        <v>52167</v>
      </c>
      <c r="I219" s="18">
        <v>4698.22</v>
      </c>
      <c r="J219" s="18">
        <v>979.95</v>
      </c>
      <c r="K219" s="18">
        <v>445.8</v>
      </c>
      <c r="L219" s="19">
        <f t="shared" ref="L219:L225" si="2">SUM(F219:K219)</f>
        <v>524701.66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123799.4</v>
      </c>
      <c r="G220" s="18">
        <v>60388.77</v>
      </c>
      <c r="H220" s="18">
        <v>20276.34</v>
      </c>
      <c r="I220" s="18">
        <v>10896.86</v>
      </c>
      <c r="J220" s="18">
        <v>29108.78</v>
      </c>
      <c r="K220" s="18">
        <v>383.49</v>
      </c>
      <c r="L220" s="19">
        <f t="shared" si="2"/>
        <v>244853.63999999998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49500.62</v>
      </c>
      <c r="G221" s="18">
        <v>15070.59</v>
      </c>
      <c r="H221" s="18">
        <v>20810.560000000001</v>
      </c>
      <c r="I221" s="18">
        <v>1826</v>
      </c>
      <c r="J221" s="18">
        <v>236.42</v>
      </c>
      <c r="K221" s="18">
        <v>4614.2700000000004</v>
      </c>
      <c r="L221" s="19">
        <f t="shared" si="2"/>
        <v>92058.46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226852.48000000001</v>
      </c>
      <c r="G222" s="18">
        <v>74043.850000000006</v>
      </c>
      <c r="H222" s="18">
        <v>13520.18</v>
      </c>
      <c r="I222" s="18">
        <v>2426.3200000000002</v>
      </c>
      <c r="J222" s="18">
        <v>2064.8000000000002</v>
      </c>
      <c r="K222" s="18">
        <v>660</v>
      </c>
      <c r="L222" s="19">
        <f t="shared" si="2"/>
        <v>319567.63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59200.07</v>
      </c>
      <c r="G223" s="18">
        <v>21623.57</v>
      </c>
      <c r="H223" s="18">
        <v>7555.32</v>
      </c>
      <c r="I223" s="18">
        <v>927.05</v>
      </c>
      <c r="J223" s="18">
        <v>65.08</v>
      </c>
      <c r="K223" s="18">
        <v>476.18</v>
      </c>
      <c r="L223" s="19">
        <f t="shared" si="2"/>
        <v>89847.26999999999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171996.01</v>
      </c>
      <c r="G224" s="18">
        <v>50886.71</v>
      </c>
      <c r="H224" s="18">
        <v>91596.160000000003</v>
      </c>
      <c r="I224" s="18">
        <v>168198.56</v>
      </c>
      <c r="J224" s="18">
        <v>1402.35</v>
      </c>
      <c r="K224" s="18"/>
      <c r="L224" s="19">
        <f t="shared" si="2"/>
        <v>484079.79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266253.77</v>
      </c>
      <c r="I225" s="18"/>
      <c r="J225" s="18"/>
      <c r="K225" s="18"/>
      <c r="L225" s="19">
        <f t="shared" si="2"/>
        <v>266253.77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3374639.3000000007</v>
      </c>
      <c r="G228" s="41">
        <f>SUM(G214:G227)</f>
        <v>1315782.08</v>
      </c>
      <c r="H228" s="41">
        <f>SUM(H214:H227)</f>
        <v>666542.69000000006</v>
      </c>
      <c r="I228" s="41">
        <f>SUM(I214:I227)</f>
        <v>255040.05</v>
      </c>
      <c r="J228" s="41">
        <f>SUM(J214:J227)</f>
        <v>36508.04</v>
      </c>
      <c r="K228" s="41">
        <f t="shared" si="3"/>
        <v>10976.490000000002</v>
      </c>
      <c r="L228" s="41">
        <f t="shared" si="3"/>
        <v>5659488.6500000004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1773506.47</v>
      </c>
      <c r="G232" s="18">
        <v>723133.69</v>
      </c>
      <c r="H232" s="18">
        <v>1871.75</v>
      </c>
      <c r="I232" s="18">
        <v>40434.800000000003</v>
      </c>
      <c r="J232" s="18">
        <v>4688.82</v>
      </c>
      <c r="K232" s="18"/>
      <c r="L232" s="19">
        <f>SUM(F232:K232)</f>
        <v>2543635.5299999998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233111.73</v>
      </c>
      <c r="G233" s="18">
        <v>97571.43</v>
      </c>
      <c r="H233" s="18">
        <v>280446.42</v>
      </c>
      <c r="I233" s="18">
        <v>19976.939999999999</v>
      </c>
      <c r="J233" s="18">
        <v>1430.21</v>
      </c>
      <c r="K233" s="18"/>
      <c r="L233" s="19">
        <f>SUM(F233:K233)</f>
        <v>632536.73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12604.8</v>
      </c>
      <c r="G234" s="18">
        <v>964.34</v>
      </c>
      <c r="H234" s="18">
        <v>145156.17000000001</v>
      </c>
      <c r="I234" s="18"/>
      <c r="J234" s="18"/>
      <c r="K234" s="18"/>
      <c r="L234" s="19">
        <f>SUM(F234:K234)</f>
        <v>158725.31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133582.12</v>
      </c>
      <c r="G235" s="18">
        <v>30366.25</v>
      </c>
      <c r="H235" s="18">
        <v>20680</v>
      </c>
      <c r="I235" s="18">
        <v>13818.68</v>
      </c>
      <c r="J235" s="18"/>
      <c r="K235" s="18">
        <v>10704.5</v>
      </c>
      <c r="L235" s="19">
        <f>SUM(F235:K235)</f>
        <v>209151.55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317117.78000000003</v>
      </c>
      <c r="G237" s="18">
        <v>112201.25</v>
      </c>
      <c r="H237" s="18">
        <v>46012.71</v>
      </c>
      <c r="I237" s="18">
        <v>2164.41</v>
      </c>
      <c r="J237" s="18"/>
      <c r="K237" s="18">
        <v>472.17</v>
      </c>
      <c r="L237" s="19">
        <f t="shared" ref="L237:L243" si="4">SUM(F237:K237)</f>
        <v>477968.32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120005.69</v>
      </c>
      <c r="G238" s="18">
        <v>56666.35</v>
      </c>
      <c r="H238" s="18">
        <v>19253.16</v>
      </c>
      <c r="I238" s="18">
        <v>13874.58</v>
      </c>
      <c r="J238" s="18">
        <v>33438.75</v>
      </c>
      <c r="K238" s="18">
        <v>427.29</v>
      </c>
      <c r="L238" s="19">
        <f t="shared" si="4"/>
        <v>243665.82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55154.96</v>
      </c>
      <c r="G239" s="18">
        <v>16792.05</v>
      </c>
      <c r="H239" s="18">
        <v>23187.67</v>
      </c>
      <c r="I239" s="18">
        <v>2034.6</v>
      </c>
      <c r="J239" s="18">
        <v>263.43</v>
      </c>
      <c r="K239" s="18">
        <v>5141.34</v>
      </c>
      <c r="L239" s="19">
        <f t="shared" si="4"/>
        <v>102574.04999999999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188772.7</v>
      </c>
      <c r="G240" s="18">
        <v>73652.25</v>
      </c>
      <c r="H240" s="18">
        <v>15208.55</v>
      </c>
      <c r="I240" s="18">
        <v>614.91999999999996</v>
      </c>
      <c r="J240" s="18"/>
      <c r="K240" s="18">
        <v>11952.16</v>
      </c>
      <c r="L240" s="19">
        <f t="shared" si="4"/>
        <v>290200.57999999996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65962.36</v>
      </c>
      <c r="G241" s="18">
        <v>24093.61</v>
      </c>
      <c r="H241" s="18">
        <v>8418.35</v>
      </c>
      <c r="I241" s="18">
        <v>1032.96</v>
      </c>
      <c r="J241" s="18">
        <v>72.52</v>
      </c>
      <c r="K241" s="18">
        <v>530.58000000000004</v>
      </c>
      <c r="L241" s="19">
        <f t="shared" si="4"/>
        <v>100110.38000000002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154041.49</v>
      </c>
      <c r="G242" s="18">
        <v>56699.360000000001</v>
      </c>
      <c r="H242" s="18">
        <v>100933.34</v>
      </c>
      <c r="I242" s="18">
        <v>148611.64000000001</v>
      </c>
      <c r="J242" s="18">
        <v>1562.53</v>
      </c>
      <c r="K242" s="18"/>
      <c r="L242" s="19">
        <f t="shared" si="4"/>
        <v>461848.36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336498.46</v>
      </c>
      <c r="I243" s="18"/>
      <c r="J243" s="18"/>
      <c r="K243" s="18"/>
      <c r="L243" s="19">
        <f t="shared" si="4"/>
        <v>336498.46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3053860.1000000006</v>
      </c>
      <c r="G246" s="41">
        <f t="shared" si="5"/>
        <v>1192140.58</v>
      </c>
      <c r="H246" s="41">
        <f t="shared" si="5"/>
        <v>997666.58000000007</v>
      </c>
      <c r="I246" s="41">
        <f t="shared" si="5"/>
        <v>242563.53000000003</v>
      </c>
      <c r="J246" s="41">
        <f t="shared" si="5"/>
        <v>41456.259999999995</v>
      </c>
      <c r="K246" s="41">
        <f t="shared" si="5"/>
        <v>29228.040000000005</v>
      </c>
      <c r="L246" s="41">
        <f t="shared" si="5"/>
        <v>5556915.0899999999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5765.58</v>
      </c>
      <c r="G252" s="18">
        <v>3036.25</v>
      </c>
      <c r="H252" s="18"/>
      <c r="I252" s="18">
        <v>1571.1</v>
      </c>
      <c r="J252" s="18"/>
      <c r="K252" s="18"/>
      <c r="L252" s="19">
        <f t="shared" si="6"/>
        <v>10372.93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121814.69</v>
      </c>
      <c r="I254" s="18"/>
      <c r="J254" s="18"/>
      <c r="K254" s="18"/>
      <c r="L254" s="19">
        <f t="shared" si="6"/>
        <v>121814.69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5765.58</v>
      </c>
      <c r="G255" s="41">
        <f t="shared" si="7"/>
        <v>3036.25</v>
      </c>
      <c r="H255" s="41">
        <f t="shared" si="7"/>
        <v>121814.69</v>
      </c>
      <c r="I255" s="41">
        <f t="shared" si="7"/>
        <v>1571.1</v>
      </c>
      <c r="J255" s="41">
        <f t="shared" si="7"/>
        <v>0</v>
      </c>
      <c r="K255" s="41">
        <f t="shared" si="7"/>
        <v>0</v>
      </c>
      <c r="L255" s="41">
        <f>SUM(F255:K255)</f>
        <v>132187.62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10333700.17</v>
      </c>
      <c r="G256" s="41">
        <f t="shared" si="8"/>
        <v>4134623.0900000003</v>
      </c>
      <c r="H256" s="41">
        <f t="shared" si="8"/>
        <v>2390860.14</v>
      </c>
      <c r="I256" s="41">
        <f t="shared" si="8"/>
        <v>765053.96000000008</v>
      </c>
      <c r="J256" s="41">
        <f t="shared" si="8"/>
        <v>118069.07999999999</v>
      </c>
      <c r="K256" s="41">
        <f t="shared" si="8"/>
        <v>49852.69</v>
      </c>
      <c r="L256" s="41">
        <f t="shared" si="8"/>
        <v>17792159.129999999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500000</v>
      </c>
      <c r="L259" s="19">
        <f>SUM(F259:K259)</f>
        <v>500000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12000</v>
      </c>
      <c r="L260" s="19">
        <f>SUM(F260:K260)</f>
        <v>12000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74066.33</v>
      </c>
      <c r="L262" s="19">
        <f>SUM(F262:K262)</f>
        <v>74066.33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200000</v>
      </c>
      <c r="L265" s="19">
        <f t="shared" si="9"/>
        <v>200000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786066.33</v>
      </c>
      <c r="L269" s="41">
        <f t="shared" si="9"/>
        <v>786066.33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10333700.17</v>
      </c>
      <c r="G270" s="42">
        <f t="shared" si="11"/>
        <v>4134623.0900000003</v>
      </c>
      <c r="H270" s="42">
        <f t="shared" si="11"/>
        <v>2390860.14</v>
      </c>
      <c r="I270" s="42">
        <f t="shared" si="11"/>
        <v>765053.96000000008</v>
      </c>
      <c r="J270" s="42">
        <f t="shared" si="11"/>
        <v>118069.07999999999</v>
      </c>
      <c r="K270" s="42">
        <f t="shared" si="11"/>
        <v>835919.02</v>
      </c>
      <c r="L270" s="42">
        <f t="shared" si="11"/>
        <v>18578225.459999997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3369.6</v>
      </c>
      <c r="G275" s="18">
        <v>638.54</v>
      </c>
      <c r="H275" s="18">
        <v>773.18</v>
      </c>
      <c r="I275" s="18">
        <v>42.77</v>
      </c>
      <c r="J275" s="18"/>
      <c r="K275" s="18"/>
      <c r="L275" s="19">
        <f>SUM(F275:K275)</f>
        <v>4824.09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105343.47</v>
      </c>
      <c r="G276" s="18">
        <v>39655.58</v>
      </c>
      <c r="H276" s="18">
        <v>2945.2</v>
      </c>
      <c r="I276" s="18">
        <v>15349.63</v>
      </c>
      <c r="J276" s="18">
        <v>29188.73</v>
      </c>
      <c r="K276" s="18"/>
      <c r="L276" s="19">
        <f>SUM(F276:K276)</f>
        <v>192482.61000000002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13500</v>
      </c>
      <c r="G278" s="18">
        <v>1082.67</v>
      </c>
      <c r="H278" s="18"/>
      <c r="I278" s="18"/>
      <c r="J278" s="18"/>
      <c r="K278" s="18"/>
      <c r="L278" s="19">
        <f>SUM(F278:K278)</f>
        <v>14582.67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10357.030000000001</v>
      </c>
      <c r="G280" s="18">
        <v>1987.78</v>
      </c>
      <c r="H280" s="18">
        <v>8908.5300000000007</v>
      </c>
      <c r="I280" s="18"/>
      <c r="J280" s="18"/>
      <c r="K280" s="18"/>
      <c r="L280" s="19">
        <f t="shared" ref="L280:L286" si="12">SUM(F280:K280)</f>
        <v>21253.340000000004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3931.2</v>
      </c>
      <c r="G281" s="18">
        <v>702.66</v>
      </c>
      <c r="H281" s="18">
        <v>15377.88</v>
      </c>
      <c r="I281" s="18"/>
      <c r="J281" s="18">
        <v>3022.7</v>
      </c>
      <c r="K281" s="18"/>
      <c r="L281" s="19">
        <f t="shared" si="12"/>
        <v>23034.44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>
        <v>3088.68</v>
      </c>
      <c r="I283" s="18"/>
      <c r="J283" s="18"/>
      <c r="K283" s="18"/>
      <c r="L283" s="19">
        <f t="shared" si="12"/>
        <v>3088.68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7000</v>
      </c>
      <c r="I286" s="18"/>
      <c r="J286" s="18"/>
      <c r="K286" s="18"/>
      <c r="L286" s="19">
        <f t="shared" si="12"/>
        <v>7000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136501.30000000002</v>
      </c>
      <c r="G289" s="42">
        <f t="shared" si="13"/>
        <v>44067.23</v>
      </c>
      <c r="H289" s="42">
        <f t="shared" si="13"/>
        <v>38093.47</v>
      </c>
      <c r="I289" s="42">
        <f t="shared" si="13"/>
        <v>15392.4</v>
      </c>
      <c r="J289" s="42">
        <f t="shared" si="13"/>
        <v>32211.43</v>
      </c>
      <c r="K289" s="42">
        <f t="shared" si="13"/>
        <v>0</v>
      </c>
      <c r="L289" s="41">
        <f t="shared" si="13"/>
        <v>266265.83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16279.33</v>
      </c>
      <c r="G294" s="18">
        <v>2840.86</v>
      </c>
      <c r="H294" s="18">
        <v>611.07000000000005</v>
      </c>
      <c r="I294" s="18"/>
      <c r="J294" s="18"/>
      <c r="K294" s="18"/>
      <c r="L294" s="19">
        <f>SUM(F294:K294)</f>
        <v>19731.259999999998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180440.2</v>
      </c>
      <c r="G295" s="18">
        <v>97553.52</v>
      </c>
      <c r="H295" s="18">
        <v>2327.6799999999998</v>
      </c>
      <c r="I295" s="18">
        <v>17040.86</v>
      </c>
      <c r="J295" s="18">
        <v>24979.56</v>
      </c>
      <c r="K295" s="18"/>
      <c r="L295" s="19">
        <f>SUM(F295:K295)</f>
        <v>322341.82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6600</v>
      </c>
      <c r="G297" s="18">
        <v>535.58000000000004</v>
      </c>
      <c r="H297" s="18">
        <v>0</v>
      </c>
      <c r="I297" s="18"/>
      <c r="J297" s="18"/>
      <c r="K297" s="18">
        <v>0</v>
      </c>
      <c r="L297" s="19">
        <f>SUM(F297:K297)</f>
        <v>7135.58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8185.48</v>
      </c>
      <c r="G299" s="18">
        <v>1571.01</v>
      </c>
      <c r="H299" s="18">
        <v>7040.69</v>
      </c>
      <c r="I299" s="18"/>
      <c r="J299" s="18"/>
      <c r="K299" s="18"/>
      <c r="L299" s="19">
        <f t="shared" ref="L299:L305" si="14">SUM(F299:K299)</f>
        <v>16797.18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3979.95</v>
      </c>
      <c r="G300" s="18">
        <v>719.06</v>
      </c>
      <c r="H300" s="18">
        <v>9168.3700000000008</v>
      </c>
      <c r="I300" s="18">
        <v>547.19000000000005</v>
      </c>
      <c r="J300" s="18">
        <v>2388.9299999999998</v>
      </c>
      <c r="K300" s="18"/>
      <c r="L300" s="19">
        <f t="shared" si="14"/>
        <v>16803.5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>
        <v>2441.08</v>
      </c>
      <c r="I302" s="18"/>
      <c r="J302" s="18"/>
      <c r="K302" s="18"/>
      <c r="L302" s="19">
        <f t="shared" si="14"/>
        <v>2441.08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3765</v>
      </c>
      <c r="I305" s="18"/>
      <c r="J305" s="18"/>
      <c r="K305" s="18"/>
      <c r="L305" s="19">
        <f t="shared" si="14"/>
        <v>3765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215484.96000000002</v>
      </c>
      <c r="G308" s="42">
        <f t="shared" si="15"/>
        <v>103220.03</v>
      </c>
      <c r="H308" s="42">
        <f t="shared" si="15"/>
        <v>25353.89</v>
      </c>
      <c r="I308" s="42">
        <f t="shared" si="15"/>
        <v>17588.05</v>
      </c>
      <c r="J308" s="42">
        <f t="shared" si="15"/>
        <v>27368.49</v>
      </c>
      <c r="K308" s="42">
        <f t="shared" si="15"/>
        <v>0</v>
      </c>
      <c r="L308" s="41">
        <f t="shared" si="15"/>
        <v>389015.42000000004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2967.3</v>
      </c>
      <c r="G313" s="18">
        <v>562.29999999999995</v>
      </c>
      <c r="H313" s="18">
        <v>680.87</v>
      </c>
      <c r="I313" s="18"/>
      <c r="J313" s="18"/>
      <c r="K313" s="18"/>
      <c r="L313" s="19">
        <f>SUM(F313:K313)</f>
        <v>4210.47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25947.67</v>
      </c>
      <c r="G314" s="18">
        <v>19384.71</v>
      </c>
      <c r="H314" s="18">
        <v>5366.57</v>
      </c>
      <c r="I314" s="18">
        <v>6620.66</v>
      </c>
      <c r="J314" s="18">
        <v>17678.490000000002</v>
      </c>
      <c r="K314" s="18"/>
      <c r="L314" s="19">
        <f>SUM(F314:K314)</f>
        <v>74998.100000000006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11325</v>
      </c>
      <c r="G316" s="18">
        <v>913.26</v>
      </c>
      <c r="H316" s="18">
        <v>12573.39</v>
      </c>
      <c r="I316" s="18"/>
      <c r="J316" s="18"/>
      <c r="K316" s="18">
        <v>1593.96</v>
      </c>
      <c r="L316" s="19">
        <f>SUM(F316:K316)</f>
        <v>26405.61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9120.49</v>
      </c>
      <c r="G318" s="18">
        <v>1750.46</v>
      </c>
      <c r="H318" s="18">
        <v>14280.94</v>
      </c>
      <c r="I318" s="18"/>
      <c r="J318" s="18"/>
      <c r="K318" s="18"/>
      <c r="L318" s="19">
        <f t="shared" ref="L318:L324" si="16">SUM(F318:K318)</f>
        <v>25151.89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3461.85</v>
      </c>
      <c r="G319" s="18">
        <v>618.76</v>
      </c>
      <c r="H319" s="18">
        <v>2670.57</v>
      </c>
      <c r="I319" s="18"/>
      <c r="J319" s="18">
        <v>2661.82</v>
      </c>
      <c r="K319" s="18"/>
      <c r="L319" s="19">
        <f t="shared" si="16"/>
        <v>9413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>
        <v>2719.92</v>
      </c>
      <c r="I321" s="18"/>
      <c r="J321" s="18"/>
      <c r="K321" s="18"/>
      <c r="L321" s="19">
        <f t="shared" si="16"/>
        <v>2719.92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3646.89</v>
      </c>
      <c r="I324" s="18"/>
      <c r="J324" s="18"/>
      <c r="K324" s="18"/>
      <c r="L324" s="19">
        <f t="shared" si="16"/>
        <v>3646.89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52822.31</v>
      </c>
      <c r="G327" s="42">
        <f t="shared" si="17"/>
        <v>23229.489999999994</v>
      </c>
      <c r="H327" s="42">
        <f t="shared" si="17"/>
        <v>41939.149999999994</v>
      </c>
      <c r="I327" s="42">
        <f t="shared" si="17"/>
        <v>6620.66</v>
      </c>
      <c r="J327" s="42">
        <f t="shared" si="17"/>
        <v>20340.310000000001</v>
      </c>
      <c r="K327" s="42">
        <f t="shared" si="17"/>
        <v>1593.96</v>
      </c>
      <c r="L327" s="41">
        <f t="shared" si="17"/>
        <v>146545.88000000003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404808.57</v>
      </c>
      <c r="G337" s="41">
        <f t="shared" si="20"/>
        <v>170516.75</v>
      </c>
      <c r="H337" s="41">
        <f t="shared" si="20"/>
        <v>105386.51</v>
      </c>
      <c r="I337" s="41">
        <f t="shared" si="20"/>
        <v>39601.11</v>
      </c>
      <c r="J337" s="41">
        <f t="shared" si="20"/>
        <v>79920.23</v>
      </c>
      <c r="K337" s="41">
        <f t="shared" si="20"/>
        <v>1593.96</v>
      </c>
      <c r="L337" s="41">
        <f t="shared" si="20"/>
        <v>801827.13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404808.57</v>
      </c>
      <c r="G351" s="41">
        <f>G337</f>
        <v>170516.75</v>
      </c>
      <c r="H351" s="41">
        <f>H337</f>
        <v>105386.51</v>
      </c>
      <c r="I351" s="41">
        <f>I337</f>
        <v>39601.11</v>
      </c>
      <c r="J351" s="41">
        <f>J337</f>
        <v>79920.23</v>
      </c>
      <c r="K351" s="47">
        <f>K337+K350</f>
        <v>1593.96</v>
      </c>
      <c r="L351" s="41">
        <f>L337+L350</f>
        <v>801827.13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100397.63</v>
      </c>
      <c r="G357" s="18">
        <v>50997.25</v>
      </c>
      <c r="H357" s="18">
        <v>7541.72</v>
      </c>
      <c r="I357" s="18">
        <v>80398.320000000007</v>
      </c>
      <c r="J357" s="18">
        <v>0</v>
      </c>
      <c r="K357" s="18">
        <v>0</v>
      </c>
      <c r="L357" s="13">
        <f>SUM(F357:K357)</f>
        <v>239334.92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68510.570000000007</v>
      </c>
      <c r="G358" s="18">
        <v>33717.129999999997</v>
      </c>
      <c r="H358" s="18">
        <v>4549.3100000000004</v>
      </c>
      <c r="I358" s="18">
        <v>74904.210000000006</v>
      </c>
      <c r="J358" s="18">
        <v>0</v>
      </c>
      <c r="K358" s="18">
        <v>0</v>
      </c>
      <c r="L358" s="19">
        <f>SUM(F358:K358)</f>
        <v>181681.22000000003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59113.71</v>
      </c>
      <c r="G359" s="18">
        <v>31151.48</v>
      </c>
      <c r="H359" s="18">
        <v>4831.9399999999996</v>
      </c>
      <c r="I359" s="18">
        <v>102070.78</v>
      </c>
      <c r="J359" s="18">
        <v>0</v>
      </c>
      <c r="K359" s="18">
        <v>0</v>
      </c>
      <c r="L359" s="19">
        <f>SUM(F359:K359)</f>
        <v>197167.91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228021.91</v>
      </c>
      <c r="G361" s="47">
        <f t="shared" si="22"/>
        <v>115865.86</v>
      </c>
      <c r="H361" s="47">
        <f t="shared" si="22"/>
        <v>16922.97</v>
      </c>
      <c r="I361" s="47">
        <f t="shared" si="22"/>
        <v>257373.31000000003</v>
      </c>
      <c r="J361" s="47">
        <f t="shared" si="22"/>
        <v>0</v>
      </c>
      <c r="K361" s="47">
        <f t="shared" si="22"/>
        <v>0</v>
      </c>
      <c r="L361" s="47">
        <f t="shared" si="22"/>
        <v>618184.05000000005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70363.81</v>
      </c>
      <c r="G366" s="18">
        <v>68109.259999999995</v>
      </c>
      <c r="H366" s="18">
        <v>91227.65</v>
      </c>
      <c r="I366" s="56">
        <f>SUM(F366:H366)</f>
        <v>229700.72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10034.51</v>
      </c>
      <c r="G367" s="63">
        <v>6794.95</v>
      </c>
      <c r="H367" s="63">
        <v>10843.13</v>
      </c>
      <c r="I367" s="56">
        <f>SUM(F367:H367)</f>
        <v>27672.589999999997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80398.319999999992</v>
      </c>
      <c r="G368" s="47">
        <f>SUM(G366:G367)</f>
        <v>74904.209999999992</v>
      </c>
      <c r="H368" s="47">
        <f>SUM(H366:H367)</f>
        <v>102070.78</v>
      </c>
      <c r="I368" s="47">
        <f>SUM(I366:I367)</f>
        <v>257373.31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>
        <v>18.54</v>
      </c>
      <c r="I386" s="18"/>
      <c r="J386" s="24" t="s">
        <v>289</v>
      </c>
      <c r="K386" s="24" t="s">
        <v>289</v>
      </c>
      <c r="L386" s="56">
        <f t="shared" ref="L386:L391" si="25">SUM(F386:K386)</f>
        <v>18.54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18.54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18.54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100000</v>
      </c>
      <c r="H395" s="18">
        <v>55.62</v>
      </c>
      <c r="I395" s="18"/>
      <c r="J395" s="24" t="s">
        <v>289</v>
      </c>
      <c r="K395" s="24" t="s">
        <v>289</v>
      </c>
      <c r="L395" s="56">
        <f t="shared" si="26"/>
        <v>100055.62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155.44</v>
      </c>
      <c r="I396" s="18"/>
      <c r="J396" s="24" t="s">
        <v>289</v>
      </c>
      <c r="K396" s="24" t="s">
        <v>289</v>
      </c>
      <c r="L396" s="56">
        <f t="shared" si="26"/>
        <v>155.44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50000</v>
      </c>
      <c r="H398" s="18">
        <v>54.79</v>
      </c>
      <c r="I398" s="18"/>
      <c r="J398" s="24" t="s">
        <v>289</v>
      </c>
      <c r="K398" s="24" t="s">
        <v>289</v>
      </c>
      <c r="L398" s="56">
        <f t="shared" si="26"/>
        <v>50054.79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50000</v>
      </c>
      <c r="H399" s="18">
        <f>3.97+74.46+17.28</f>
        <v>95.71</v>
      </c>
      <c r="I399" s="18"/>
      <c r="J399" s="24" t="s">
        <v>289</v>
      </c>
      <c r="K399" s="24" t="s">
        <v>289</v>
      </c>
      <c r="L399" s="56">
        <f t="shared" si="26"/>
        <v>50095.71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200000</v>
      </c>
      <c r="H400" s="47">
        <f>SUM(H394:H399)</f>
        <v>361.56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200361.56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200000</v>
      </c>
      <c r="H407" s="47">
        <f>H392+H400+H406</f>
        <v>380.1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200380.1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>
        <v>110000</v>
      </c>
      <c r="L421" s="56">
        <f t="shared" si="29"/>
        <v>110000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>
        <v>52644.14</v>
      </c>
      <c r="L424" s="56">
        <f t="shared" si="29"/>
        <v>52644.14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>
        <v>4200</v>
      </c>
      <c r="L425" s="56">
        <f t="shared" si="29"/>
        <v>4200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166844.14000000001</v>
      </c>
      <c r="L426" s="47">
        <f t="shared" si="30"/>
        <v>166844.14000000001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166844.14000000001</v>
      </c>
      <c r="L433" s="47">
        <f t="shared" si="32"/>
        <v>166844.14000000001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25032.880000000001</v>
      </c>
      <c r="G439" s="18">
        <f>51627.39+209407+5027.51+100351.3+82496.87+45880.08</f>
        <v>494790.15</v>
      </c>
      <c r="H439" s="18"/>
      <c r="I439" s="56">
        <f t="shared" si="33"/>
        <v>519823.03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25032.880000000001</v>
      </c>
      <c r="G445" s="13">
        <f>SUM(G438:G444)</f>
        <v>494790.15</v>
      </c>
      <c r="H445" s="13">
        <f>SUM(H438:H444)</f>
        <v>0</v>
      </c>
      <c r="I445" s="13">
        <f>SUM(I438:I444)</f>
        <v>519823.03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25032.880000000001</v>
      </c>
      <c r="G458" s="18">
        <v>494790.15</v>
      </c>
      <c r="H458" s="18"/>
      <c r="I458" s="56">
        <f t="shared" si="34"/>
        <v>519823.03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25032.880000000001</v>
      </c>
      <c r="G459" s="83">
        <f>SUM(G453:G458)</f>
        <v>494790.15</v>
      </c>
      <c r="H459" s="83">
        <f>SUM(H453:H458)</f>
        <v>0</v>
      </c>
      <c r="I459" s="83">
        <f>SUM(I453:I458)</f>
        <v>519823.03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25032.880000000001</v>
      </c>
      <c r="G460" s="42">
        <f>G451+G459</f>
        <v>494790.15</v>
      </c>
      <c r="H460" s="42">
        <f>H451+H459</f>
        <v>0</v>
      </c>
      <c r="I460" s="42">
        <f>I451+I459</f>
        <v>519823.03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706979.56</v>
      </c>
      <c r="G464" s="18"/>
      <c r="H464" s="18"/>
      <c r="I464" s="18"/>
      <c r="J464" s="18">
        <v>486287.07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18684263.66</v>
      </c>
      <c r="G467" s="18">
        <v>625911.05000000005</v>
      </c>
      <c r="H467" s="18">
        <v>801827.13</v>
      </c>
      <c r="I467" s="18"/>
      <c r="J467" s="18">
        <v>200380.1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18684263.66</v>
      </c>
      <c r="G469" s="53">
        <f>SUM(G467:G468)</f>
        <v>625911.05000000005</v>
      </c>
      <c r="H469" s="53">
        <f>SUM(H467:H468)</f>
        <v>801827.13</v>
      </c>
      <c r="I469" s="53">
        <f>SUM(I467:I468)</f>
        <v>0</v>
      </c>
      <c r="J469" s="53">
        <f>SUM(J467:J468)</f>
        <v>200380.1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18578225.460000001</v>
      </c>
      <c r="G471" s="18">
        <v>618184.05000000005</v>
      </c>
      <c r="H471" s="18">
        <v>801827.13</v>
      </c>
      <c r="I471" s="18"/>
      <c r="J471" s="18">
        <v>166844.14000000001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18578225.460000001</v>
      </c>
      <c r="G473" s="53">
        <f>SUM(G471:G472)</f>
        <v>618184.05000000005</v>
      </c>
      <c r="H473" s="53">
        <f>SUM(H471:H472)</f>
        <v>801827.13</v>
      </c>
      <c r="I473" s="53">
        <f>SUM(I471:I472)</f>
        <v>0</v>
      </c>
      <c r="J473" s="53">
        <f>SUM(J471:J472)</f>
        <v>166844.14000000001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813017.75999999791</v>
      </c>
      <c r="G475" s="53">
        <f>(G464+G469)- G473</f>
        <v>7727</v>
      </c>
      <c r="H475" s="53">
        <f>(H464+H469)- H473</f>
        <v>0</v>
      </c>
      <c r="I475" s="53">
        <f>(I464+I469)- I473</f>
        <v>0</v>
      </c>
      <c r="J475" s="53">
        <f>(J464+J469)- J473</f>
        <v>519823.03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7500000</v>
      </c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4.75</v>
      </c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500000</v>
      </c>
      <c r="G494" s="18"/>
      <c r="H494" s="18"/>
      <c r="I494" s="18"/>
      <c r="J494" s="18"/>
      <c r="K494" s="53">
        <f>SUM(F494:J494)</f>
        <v>500000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500000</v>
      </c>
      <c r="G496" s="18"/>
      <c r="H496" s="18"/>
      <c r="I496" s="18"/>
      <c r="J496" s="18"/>
      <c r="K496" s="53">
        <f t="shared" si="35"/>
        <v>500000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0</v>
      </c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0</v>
      </c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387677.77</v>
      </c>
      <c r="G520" s="18">
        <v>176618.45</v>
      </c>
      <c r="H520" s="18">
        <v>2945.2</v>
      </c>
      <c r="I520" s="18">
        <v>7559.46</v>
      </c>
      <c r="J520" s="18">
        <v>20430.490000000002</v>
      </c>
      <c r="K520" s="18"/>
      <c r="L520" s="88">
        <f>SUM(F520:K520)</f>
        <v>595231.36999999988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405305.59999999998</v>
      </c>
      <c r="G521" s="18">
        <v>205808.1</v>
      </c>
      <c r="H521" s="18">
        <v>188371.78</v>
      </c>
      <c r="I521" s="18">
        <v>7324.46</v>
      </c>
      <c r="J521" s="18">
        <v>16196.13</v>
      </c>
      <c r="K521" s="18"/>
      <c r="L521" s="88">
        <f>SUM(F521:K521)</f>
        <v>823006.07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257016.75</v>
      </c>
      <c r="G522" s="18">
        <v>114067.28</v>
      </c>
      <c r="H522" s="18">
        <v>226236.47</v>
      </c>
      <c r="I522" s="18">
        <v>6656.92</v>
      </c>
      <c r="J522" s="18">
        <v>19108.689999999999</v>
      </c>
      <c r="K522" s="18"/>
      <c r="L522" s="88">
        <f>SUM(F522:K522)</f>
        <v>623086.11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1050000.1200000001</v>
      </c>
      <c r="G523" s="108">
        <f t="shared" ref="G523:L523" si="36">SUM(G520:G522)</f>
        <v>496493.83000000007</v>
      </c>
      <c r="H523" s="108">
        <f t="shared" si="36"/>
        <v>417553.45</v>
      </c>
      <c r="I523" s="108">
        <f t="shared" si="36"/>
        <v>21540.84</v>
      </c>
      <c r="J523" s="108">
        <f t="shared" si="36"/>
        <v>55735.31</v>
      </c>
      <c r="K523" s="108">
        <f t="shared" si="36"/>
        <v>0</v>
      </c>
      <c r="L523" s="89">
        <f t="shared" si="36"/>
        <v>2041323.5499999998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155947.85999999999</v>
      </c>
      <c r="G525" s="18">
        <v>55945.49</v>
      </c>
      <c r="H525" s="18"/>
      <c r="I525" s="18"/>
      <c r="J525" s="18"/>
      <c r="K525" s="18"/>
      <c r="L525" s="88">
        <f>SUM(F525:K525)</f>
        <v>211893.34999999998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98816.1</v>
      </c>
      <c r="G526" s="18">
        <v>36632.44</v>
      </c>
      <c r="H526" s="18">
        <v>28120.49</v>
      </c>
      <c r="I526" s="18"/>
      <c r="J526" s="18"/>
      <c r="K526" s="18"/>
      <c r="L526" s="88">
        <f>SUM(F526:K526)</f>
        <v>163569.03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110103.65</v>
      </c>
      <c r="G527" s="18">
        <v>40752.78</v>
      </c>
      <c r="H527" s="18"/>
      <c r="I527" s="18"/>
      <c r="J527" s="18"/>
      <c r="K527" s="18"/>
      <c r="L527" s="88">
        <f>SUM(F527:K527)</f>
        <v>150856.43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364867.61</v>
      </c>
      <c r="G528" s="89">
        <f t="shared" ref="G528:L528" si="37">SUM(G525:G527)</f>
        <v>133330.71</v>
      </c>
      <c r="H528" s="89">
        <f t="shared" si="37"/>
        <v>28120.49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526318.81000000006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36064.089999999997</v>
      </c>
      <c r="G530" s="18">
        <v>18486.91</v>
      </c>
      <c r="H530" s="18">
        <v>39762.519999999997</v>
      </c>
      <c r="I530" s="18">
        <v>33.450000000000003</v>
      </c>
      <c r="J530" s="18"/>
      <c r="K530" s="18">
        <v>292.02999999999997</v>
      </c>
      <c r="L530" s="88">
        <f>SUM(F530:K530)</f>
        <v>94638.999999999985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28502.58</v>
      </c>
      <c r="G531" s="18">
        <v>14610.77</v>
      </c>
      <c r="H531" s="18">
        <v>29864.38</v>
      </c>
      <c r="I531" s="18">
        <v>26.44</v>
      </c>
      <c r="J531" s="18"/>
      <c r="K531" s="18">
        <v>230.8</v>
      </c>
      <c r="L531" s="88">
        <f>SUM(F531:K531)</f>
        <v>73234.970000000016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31758.36</v>
      </c>
      <c r="G532" s="18">
        <v>16279.74</v>
      </c>
      <c r="H532" s="18">
        <v>52366.31</v>
      </c>
      <c r="I532" s="18">
        <v>29.45</v>
      </c>
      <c r="J532" s="18"/>
      <c r="K532" s="18">
        <v>257.17</v>
      </c>
      <c r="L532" s="88">
        <f>SUM(F532:K532)</f>
        <v>100691.03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96325.03</v>
      </c>
      <c r="G533" s="89">
        <f t="shared" ref="G533:L533" si="38">SUM(G530:G532)</f>
        <v>49377.42</v>
      </c>
      <c r="H533" s="89">
        <f t="shared" si="38"/>
        <v>121993.20999999999</v>
      </c>
      <c r="I533" s="89">
        <f t="shared" si="38"/>
        <v>89.34</v>
      </c>
      <c r="J533" s="89">
        <f t="shared" si="38"/>
        <v>0</v>
      </c>
      <c r="K533" s="89">
        <f t="shared" si="38"/>
        <v>780</v>
      </c>
      <c r="L533" s="89">
        <f t="shared" si="38"/>
        <v>268565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74002.33</v>
      </c>
      <c r="I540" s="18"/>
      <c r="J540" s="18"/>
      <c r="K540" s="18"/>
      <c r="L540" s="88">
        <f>SUM(F540:K540)</f>
        <v>74002.33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58115.02</v>
      </c>
      <c r="I541" s="18"/>
      <c r="J541" s="18"/>
      <c r="K541" s="18"/>
      <c r="L541" s="88">
        <f>SUM(F541:K541)</f>
        <v>58115.02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17543.75</v>
      </c>
      <c r="I542" s="18"/>
      <c r="J542" s="18"/>
      <c r="K542" s="18"/>
      <c r="L542" s="88">
        <f>SUM(F542:K542)</f>
        <v>17543.75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149661.1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149661.1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1511192.76</v>
      </c>
      <c r="G544" s="89">
        <f t="shared" ref="G544:L544" si="41">G523+G528+G533+G538+G543</f>
        <v>679201.96000000008</v>
      </c>
      <c r="H544" s="89">
        <f t="shared" si="41"/>
        <v>717328.25</v>
      </c>
      <c r="I544" s="89">
        <f t="shared" si="41"/>
        <v>21630.18</v>
      </c>
      <c r="J544" s="89">
        <f t="shared" si="41"/>
        <v>55735.31</v>
      </c>
      <c r="K544" s="89">
        <f t="shared" si="41"/>
        <v>780</v>
      </c>
      <c r="L544" s="89">
        <f t="shared" si="41"/>
        <v>2985868.46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595231.36999999988</v>
      </c>
      <c r="G548" s="87">
        <f>L525</f>
        <v>211893.34999999998</v>
      </c>
      <c r="H548" s="87">
        <f>L530</f>
        <v>94638.999999999985</v>
      </c>
      <c r="I548" s="87">
        <f>L535</f>
        <v>0</v>
      </c>
      <c r="J548" s="87">
        <f>L540</f>
        <v>74002.33</v>
      </c>
      <c r="K548" s="87">
        <f>SUM(F548:J548)</f>
        <v>975766.04999999981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823006.07</v>
      </c>
      <c r="G549" s="87">
        <f>L526</f>
        <v>163569.03</v>
      </c>
      <c r="H549" s="87">
        <f>L531</f>
        <v>73234.970000000016</v>
      </c>
      <c r="I549" s="87">
        <f>L536</f>
        <v>0</v>
      </c>
      <c r="J549" s="87">
        <f>L541</f>
        <v>58115.02</v>
      </c>
      <c r="K549" s="87">
        <f>SUM(F549:J549)</f>
        <v>1117925.0900000001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623086.11</v>
      </c>
      <c r="G550" s="87">
        <f>L527</f>
        <v>150856.43</v>
      </c>
      <c r="H550" s="87">
        <f>L532</f>
        <v>100691.03</v>
      </c>
      <c r="I550" s="87">
        <f>L537</f>
        <v>0</v>
      </c>
      <c r="J550" s="87">
        <f>L542</f>
        <v>17543.75</v>
      </c>
      <c r="K550" s="87">
        <f>SUM(F550:J550)</f>
        <v>892177.32000000007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2041323.5499999998</v>
      </c>
      <c r="G551" s="89">
        <f t="shared" si="42"/>
        <v>526318.81000000006</v>
      </c>
      <c r="H551" s="89">
        <f t="shared" si="42"/>
        <v>268565</v>
      </c>
      <c r="I551" s="89">
        <f t="shared" si="42"/>
        <v>0</v>
      </c>
      <c r="J551" s="89">
        <f t="shared" si="42"/>
        <v>149661.1</v>
      </c>
      <c r="K551" s="89">
        <f t="shared" si="42"/>
        <v>2985868.46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8294.4</v>
      </c>
      <c r="G561" s="18">
        <v>11730.54</v>
      </c>
      <c r="H561" s="18">
        <v>17.11</v>
      </c>
      <c r="I561" s="18">
        <v>23.07</v>
      </c>
      <c r="J561" s="18"/>
      <c r="K561" s="18"/>
      <c r="L561" s="88">
        <f>SUM(F561:K561)</f>
        <v>20065.120000000003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2042.65</v>
      </c>
      <c r="G562" s="18">
        <v>2888.87</v>
      </c>
      <c r="H562" s="18">
        <v>4.21</v>
      </c>
      <c r="I562" s="18">
        <v>5.68</v>
      </c>
      <c r="J562" s="18"/>
      <c r="K562" s="18"/>
      <c r="L562" s="88">
        <f>SUM(F562:K562)</f>
        <v>4941.4100000000008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2042.65</v>
      </c>
      <c r="G563" s="18">
        <v>2888.86</v>
      </c>
      <c r="H563" s="18">
        <v>4.21</v>
      </c>
      <c r="I563" s="18">
        <v>5.68</v>
      </c>
      <c r="J563" s="18"/>
      <c r="K563" s="18"/>
      <c r="L563" s="88">
        <f>SUM(F563:K563)</f>
        <v>4941.4000000000005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12379.699999999999</v>
      </c>
      <c r="G564" s="89">
        <f t="shared" si="44"/>
        <v>17508.27</v>
      </c>
      <c r="H564" s="89">
        <f t="shared" si="44"/>
        <v>25.53</v>
      </c>
      <c r="I564" s="89">
        <f t="shared" si="44"/>
        <v>34.43</v>
      </c>
      <c r="J564" s="89">
        <f t="shared" si="44"/>
        <v>0</v>
      </c>
      <c r="K564" s="89">
        <f t="shared" si="44"/>
        <v>0</v>
      </c>
      <c r="L564" s="89">
        <f t="shared" si="44"/>
        <v>29947.930000000004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38463.599999999999</v>
      </c>
      <c r="G566" s="18">
        <v>5057.8</v>
      </c>
      <c r="H566" s="18"/>
      <c r="I566" s="18">
        <v>258.08999999999997</v>
      </c>
      <c r="J566" s="18"/>
      <c r="K566" s="18"/>
      <c r="L566" s="88">
        <f>SUM(F566:K566)</f>
        <v>43779.49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36600</v>
      </c>
      <c r="G567" s="18">
        <v>4910.84</v>
      </c>
      <c r="H567" s="18"/>
      <c r="I567" s="18">
        <v>752</v>
      </c>
      <c r="J567" s="18"/>
      <c r="K567" s="18">
        <v>1306.75</v>
      </c>
      <c r="L567" s="88">
        <f>SUM(F567:K567)</f>
        <v>43569.59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75063.600000000006</v>
      </c>
      <c r="G569" s="193">
        <f t="shared" ref="G569:L569" si="45">SUM(G566:G568)</f>
        <v>9968.64</v>
      </c>
      <c r="H569" s="193">
        <f t="shared" si="45"/>
        <v>0</v>
      </c>
      <c r="I569" s="193">
        <f t="shared" si="45"/>
        <v>1010.0899999999999</v>
      </c>
      <c r="J569" s="193">
        <f t="shared" si="45"/>
        <v>0</v>
      </c>
      <c r="K569" s="193">
        <f t="shared" si="45"/>
        <v>1306.75</v>
      </c>
      <c r="L569" s="193">
        <f t="shared" si="45"/>
        <v>87349.079999999987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87443.3</v>
      </c>
      <c r="G570" s="89">
        <f t="shared" ref="G570:L570" si="46">G559+G564+G569</f>
        <v>27476.91</v>
      </c>
      <c r="H570" s="89">
        <f t="shared" si="46"/>
        <v>25.53</v>
      </c>
      <c r="I570" s="89">
        <f t="shared" si="46"/>
        <v>1044.52</v>
      </c>
      <c r="J570" s="89">
        <f t="shared" si="46"/>
        <v>0</v>
      </c>
      <c r="K570" s="89">
        <f t="shared" si="46"/>
        <v>1306.75</v>
      </c>
      <c r="L570" s="89">
        <f t="shared" si="46"/>
        <v>117297.01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2773</v>
      </c>
      <c r="I574" s="87">
        <f>SUM(F574:H574)</f>
        <v>2773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>
        <v>186037.99</v>
      </c>
      <c r="H578" s="18">
        <v>199982.92</v>
      </c>
      <c r="I578" s="87">
        <f t="shared" si="47"/>
        <v>386020.91000000003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145156.17000000001</v>
      </c>
      <c r="I583" s="87">
        <f t="shared" si="47"/>
        <v>145156.17000000001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286857.62</v>
      </c>
      <c r="I590" s="18">
        <v>191713.51</v>
      </c>
      <c r="J590" s="18">
        <v>213612.51</v>
      </c>
      <c r="K590" s="104">
        <f t="shared" ref="K590:K596" si="48">SUM(H590:J590)</f>
        <v>692183.64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74002.33</v>
      </c>
      <c r="I591" s="18">
        <v>58115.02</v>
      </c>
      <c r="J591" s="18">
        <v>17543.75</v>
      </c>
      <c r="K591" s="104">
        <f t="shared" si="48"/>
        <v>149661.1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66921</v>
      </c>
      <c r="K592" s="104">
        <f t="shared" si="48"/>
        <v>66921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12287.78</v>
      </c>
      <c r="J593" s="18">
        <v>23233.65</v>
      </c>
      <c r="K593" s="104">
        <f t="shared" si="48"/>
        <v>35521.43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>
        <v>1675.61</v>
      </c>
      <c r="J594" s="18">
        <v>3168.23</v>
      </c>
      <c r="K594" s="104">
        <f t="shared" si="48"/>
        <v>4843.84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6108.72</v>
      </c>
      <c r="I596" s="18">
        <v>2461.85</v>
      </c>
      <c r="J596" s="18">
        <v>12019.32</v>
      </c>
      <c r="K596" s="104">
        <f t="shared" si="48"/>
        <v>20589.89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366968.67</v>
      </c>
      <c r="I597" s="108">
        <f>SUM(I590:I596)</f>
        <v>266253.76999999996</v>
      </c>
      <c r="J597" s="108">
        <f>SUM(J590:J596)</f>
        <v>336498.46</v>
      </c>
      <c r="K597" s="108">
        <f>SUM(K590:K596)</f>
        <v>969720.9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72316.210000000006</v>
      </c>
      <c r="I603" s="18">
        <v>63876.54</v>
      </c>
      <c r="J603" s="18">
        <v>61796.56</v>
      </c>
      <c r="K603" s="104">
        <f>SUM(H603:J603)</f>
        <v>197989.31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72316.210000000006</v>
      </c>
      <c r="I604" s="108">
        <f>SUM(I601:I603)</f>
        <v>63876.54</v>
      </c>
      <c r="J604" s="108">
        <f>SUM(J601:J603)</f>
        <v>61796.56</v>
      </c>
      <c r="K604" s="108">
        <f>SUM(K601:K603)</f>
        <v>197989.31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13500</v>
      </c>
      <c r="G610" s="18">
        <v>1082.67</v>
      </c>
      <c r="H610" s="18"/>
      <c r="I610" s="18"/>
      <c r="J610" s="18"/>
      <c r="K610" s="18"/>
      <c r="L610" s="88">
        <f>SUM(F610:K610)</f>
        <v>14582.67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6600</v>
      </c>
      <c r="G611" s="18">
        <v>535.58000000000004</v>
      </c>
      <c r="H611" s="18"/>
      <c r="I611" s="18"/>
      <c r="J611" s="18"/>
      <c r="K611" s="18"/>
      <c r="L611" s="88">
        <f>SUM(F611:K611)</f>
        <v>7135.58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7200</v>
      </c>
      <c r="G612" s="18">
        <v>696.01</v>
      </c>
      <c r="H612" s="18"/>
      <c r="I612" s="18"/>
      <c r="J612" s="18"/>
      <c r="K612" s="18"/>
      <c r="L612" s="88">
        <f>SUM(F612:K612)</f>
        <v>7896.01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27300</v>
      </c>
      <c r="G613" s="108">
        <f t="shared" si="49"/>
        <v>2314.2600000000002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29614.260000000002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879042.1</v>
      </c>
      <c r="H616" s="109">
        <f>SUM(F51)</f>
        <v>879042.1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76858.86</v>
      </c>
      <c r="H617" s="109">
        <f>SUM(G51)</f>
        <v>76858.86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258041.14</v>
      </c>
      <c r="H618" s="109">
        <f>SUM(H51)</f>
        <v>258041.14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519823.03</v>
      </c>
      <c r="H620" s="109">
        <f>SUM(J51)</f>
        <v>519823.03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813017.76</v>
      </c>
      <c r="H621" s="109">
        <f>F475</f>
        <v>813017.75999999791</v>
      </c>
      <c r="I621" s="121" t="s">
        <v>101</v>
      </c>
      <c r="J621" s="109">
        <f t="shared" ref="J621:J654" si="50">G621-H621</f>
        <v>2.0954757928848267E-9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7727</v>
      </c>
      <c r="H622" s="109">
        <f>G475</f>
        <v>7727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519823.03</v>
      </c>
      <c r="H625" s="109">
        <f>J475</f>
        <v>519823.03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18684263.659999996</v>
      </c>
      <c r="H626" s="104">
        <f>SUM(F467)</f>
        <v>18684263.66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625911.04999999993</v>
      </c>
      <c r="H627" s="104">
        <f>SUM(G467)</f>
        <v>625911.05000000005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801827.12999999989</v>
      </c>
      <c r="H628" s="104">
        <f>SUM(H467)</f>
        <v>801827.13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200380.1</v>
      </c>
      <c r="H630" s="104">
        <f>SUM(J467)</f>
        <v>200380.1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18578225.459999997</v>
      </c>
      <c r="H631" s="104">
        <f>SUM(F471)</f>
        <v>18578225.460000001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801827.13</v>
      </c>
      <c r="H632" s="104">
        <f>SUM(H471)</f>
        <v>801827.13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257373.31000000003</v>
      </c>
      <c r="H633" s="104">
        <f>I368</f>
        <v>257373.31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618184.05000000005</v>
      </c>
      <c r="H634" s="104">
        <f>SUM(G471)</f>
        <v>618184.05000000005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200380.1</v>
      </c>
      <c r="H636" s="164">
        <f>SUM(J467)</f>
        <v>200380.1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166844.14000000001</v>
      </c>
      <c r="H637" s="164">
        <f>SUM(J471)</f>
        <v>166844.14000000001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25032.880000000001</v>
      </c>
      <c r="H638" s="104">
        <f>SUM(F460)</f>
        <v>25032.880000000001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494790.15</v>
      </c>
      <c r="H639" s="104">
        <f>SUM(G460)</f>
        <v>494790.15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519823.03</v>
      </c>
      <c r="H641" s="104">
        <f>SUM(I460)</f>
        <v>519823.03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380.1</v>
      </c>
      <c r="H643" s="104">
        <f>H407</f>
        <v>380.1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200000</v>
      </c>
      <c r="H644" s="104">
        <f>G407</f>
        <v>200000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200380.1</v>
      </c>
      <c r="H645" s="104">
        <f>L407</f>
        <v>200380.1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969720.9</v>
      </c>
      <c r="H646" s="104">
        <f>L207+L225+L243</f>
        <v>969720.89999999991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197989.31</v>
      </c>
      <c r="H647" s="104">
        <f>(J256+J337)-(J254+J335)</f>
        <v>197989.31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366968.67</v>
      </c>
      <c r="H648" s="104">
        <f>H597</f>
        <v>366968.67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266253.77</v>
      </c>
      <c r="H649" s="104">
        <f>I597</f>
        <v>266253.76999999996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336498.46</v>
      </c>
      <c r="H650" s="104">
        <f>J597</f>
        <v>336498.46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74066.33</v>
      </c>
      <c r="H651" s="104">
        <f>K262+K344</f>
        <v>74066.33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200000</v>
      </c>
      <c r="H654" s="104">
        <f>K265+K346</f>
        <v>200000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6949168.5199999996</v>
      </c>
      <c r="G659" s="19">
        <f>(L228+L308+L358)</f>
        <v>6230185.29</v>
      </c>
      <c r="H659" s="19">
        <f>(L246+L327+L359)</f>
        <v>5900628.8799999999</v>
      </c>
      <c r="I659" s="19">
        <f>SUM(F659:H659)</f>
        <v>19079982.689999998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98584.848753492755</v>
      </c>
      <c r="G660" s="19">
        <f>(L358/IF(SUM(L357:L359)=0,1,SUM(L357:L359))*(SUM(G96:G109)))</f>
        <v>74836.616382808003</v>
      </c>
      <c r="H660" s="19">
        <f>(L359/IF(SUM(L357:L359)=0,1,SUM(L357:L359))*(SUM(G96:G109)))</f>
        <v>81215.764863699253</v>
      </c>
      <c r="I660" s="19">
        <f>SUM(F660:H660)</f>
        <v>254637.23000000004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373968.67</v>
      </c>
      <c r="G661" s="19">
        <f>(L225+L305)-(J225+J305)</f>
        <v>270018.77</v>
      </c>
      <c r="H661" s="19">
        <f>(L243+L324)-(J243+J324)</f>
        <v>340145.35000000003</v>
      </c>
      <c r="I661" s="19">
        <f>SUM(F661:H661)</f>
        <v>984132.79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86898.880000000005</v>
      </c>
      <c r="G662" s="199">
        <f>SUM(G574:G586)+SUM(I601:I603)+L611</f>
        <v>257050.11</v>
      </c>
      <c r="H662" s="199">
        <f>SUM(H574:H586)+SUM(J601:J603)+L612</f>
        <v>417604.66000000003</v>
      </c>
      <c r="I662" s="19">
        <f>SUM(F662:H662)</f>
        <v>761553.65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6389716.1212465065</v>
      </c>
      <c r="G663" s="19">
        <f>G659-SUM(G660:G662)</f>
        <v>5628279.7936171917</v>
      </c>
      <c r="H663" s="19">
        <f>H659-SUM(H660:H662)</f>
        <v>5061663.1051363004</v>
      </c>
      <c r="I663" s="19">
        <f>I659-SUM(I660:I662)</f>
        <v>17079659.019999996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479.55</v>
      </c>
      <c r="G664" s="248">
        <v>379.27</v>
      </c>
      <c r="H664" s="248">
        <v>422.63</v>
      </c>
      <c r="I664" s="19">
        <f>SUM(F664:H664)</f>
        <v>1281.4499999999998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13324.4</v>
      </c>
      <c r="G666" s="19">
        <f>ROUND(G663/G664,2)</f>
        <v>14839.77</v>
      </c>
      <c r="H666" s="19">
        <f>ROUND(H663/H664,2)</f>
        <v>11976.58</v>
      </c>
      <c r="I666" s="19">
        <f>ROUND(I663/I664,2)</f>
        <v>13328.39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-16.79</v>
      </c>
      <c r="I669" s="19">
        <f>SUM(F669:H669)</f>
        <v>-16.79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13324.4</v>
      </c>
      <c r="G671" s="19">
        <f>ROUND((G663+G668)/(G664+G669),2)</f>
        <v>14839.77</v>
      </c>
      <c r="H671" s="19">
        <f>ROUND((H663+H668)/(H664+H669),2)</f>
        <v>12472.07</v>
      </c>
      <c r="I671" s="19">
        <f>ROUND((I663+I668)/(I664+I669),2)</f>
        <v>13505.34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Shaker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5802269.3199999994</v>
      </c>
      <c r="C9" s="229">
        <f>'DOE25'!G196+'DOE25'!G214+'DOE25'!G232+'DOE25'!G275+'DOE25'!G294+'DOE25'!G313</f>
        <v>2336327.0099999998</v>
      </c>
    </row>
    <row r="10" spans="1:3" x14ac:dyDescent="0.2">
      <c r="A10" t="s">
        <v>779</v>
      </c>
      <c r="B10" s="240">
        <v>5403192.9000000004</v>
      </c>
      <c r="C10" s="240">
        <v>2125432.9300000002</v>
      </c>
    </row>
    <row r="11" spans="1:3" x14ac:dyDescent="0.2">
      <c r="A11" t="s">
        <v>780</v>
      </c>
      <c r="B11" s="240">
        <v>322968.21999999997</v>
      </c>
      <c r="C11" s="240">
        <v>206316.07</v>
      </c>
    </row>
    <row r="12" spans="1:3" x14ac:dyDescent="0.2">
      <c r="A12" t="s">
        <v>781</v>
      </c>
      <c r="B12" s="240">
        <v>76108.2</v>
      </c>
      <c r="C12" s="240">
        <v>4578.01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5802269.3200000003</v>
      </c>
      <c r="C13" s="231">
        <f>SUM(C10:C12)</f>
        <v>2336327.0099999998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1513356.8299999998</v>
      </c>
      <c r="C18" s="229">
        <f>'DOE25'!G197+'DOE25'!G215+'DOE25'!G233+'DOE25'!G276+'DOE25'!G295+'DOE25'!G314</f>
        <v>685137.37</v>
      </c>
    </row>
    <row r="19" spans="1:3" x14ac:dyDescent="0.2">
      <c r="A19" t="s">
        <v>779</v>
      </c>
      <c r="B19" s="240">
        <v>1024449.03</v>
      </c>
      <c r="C19" s="240">
        <v>379042.23</v>
      </c>
    </row>
    <row r="20" spans="1:3" x14ac:dyDescent="0.2">
      <c r="A20" t="s">
        <v>780</v>
      </c>
      <c r="B20" s="240">
        <v>488907.8</v>
      </c>
      <c r="C20" s="240">
        <v>306095.14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1513356.83</v>
      </c>
      <c r="C22" s="231">
        <f>SUM(C19:C21)</f>
        <v>685137.37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12604.8</v>
      </c>
      <c r="C27" s="234">
        <f>'DOE25'!G198+'DOE25'!G216+'DOE25'!G234+'DOE25'!G277+'DOE25'!G296+'DOE25'!G315</f>
        <v>964.34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>
        <v>12604.8</v>
      </c>
      <c r="C29" s="240">
        <v>964.34</v>
      </c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12604.8</v>
      </c>
      <c r="C31" s="231">
        <f>SUM(C28:C30)</f>
        <v>964.34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239328.66999999998</v>
      </c>
      <c r="C36" s="235">
        <f>'DOE25'!G199+'DOE25'!G217+'DOE25'!G235+'DOE25'!G278+'DOE25'!G297+'DOE25'!G316</f>
        <v>45338.91</v>
      </c>
    </row>
    <row r="37" spans="1:3" x14ac:dyDescent="0.2">
      <c r="A37" t="s">
        <v>779</v>
      </c>
      <c r="B37" s="240">
        <v>215393.63</v>
      </c>
      <c r="C37" s="240">
        <v>42435.57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23935.040000000001</v>
      </c>
      <c r="C39" s="240">
        <v>2903.34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239328.67</v>
      </c>
      <c r="C40" s="231">
        <f>SUM(C37:C39)</f>
        <v>45338.91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A5" sqref="A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Shaker Regional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11013423.33</v>
      </c>
      <c r="D5" s="20">
        <f>SUM('DOE25'!L196:L199)+SUM('DOE25'!L214:L217)+SUM('DOE25'!L232:L235)-F5-G5</f>
        <v>10988561.26</v>
      </c>
      <c r="E5" s="243"/>
      <c r="F5" s="255">
        <f>SUM('DOE25'!J196:J199)+SUM('DOE25'!J214:J217)+SUM('DOE25'!J232:J235)</f>
        <v>9760.82</v>
      </c>
      <c r="G5" s="53">
        <f>SUM('DOE25'!K196:K199)+SUM('DOE25'!K214:K217)+SUM('DOE25'!K232:K235)</f>
        <v>15101.25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1721946.01</v>
      </c>
      <c r="D6" s="20">
        <f>'DOE25'!L201+'DOE25'!L219+'DOE25'!L237-F6-G6</f>
        <v>1719486.06</v>
      </c>
      <c r="E6" s="243"/>
      <c r="F6" s="255">
        <f>'DOE25'!J201+'DOE25'!J219+'DOE25'!J237</f>
        <v>979.95</v>
      </c>
      <c r="G6" s="53">
        <f>'DOE25'!K201+'DOE25'!K219+'DOE25'!K237</f>
        <v>1480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846634.02</v>
      </c>
      <c r="D7" s="20">
        <f>'DOE25'!L202+'DOE25'!L220+'DOE25'!L238-F7-G7</f>
        <v>745832.72</v>
      </c>
      <c r="E7" s="243"/>
      <c r="F7" s="255">
        <f>'DOE25'!J202+'DOE25'!J220+'DOE25'!J238</f>
        <v>99505.299999999988</v>
      </c>
      <c r="G7" s="53">
        <f>'DOE25'!K202+'DOE25'!K220+'DOE25'!K238</f>
        <v>1296</v>
      </c>
      <c r="H7" s="259"/>
    </row>
    <row r="8" spans="1:9" x14ac:dyDescent="0.2">
      <c r="A8" s="32">
        <v>2300</v>
      </c>
      <c r="B8" t="s">
        <v>802</v>
      </c>
      <c r="C8" s="245">
        <f t="shared" si="0"/>
        <v>58281.54</v>
      </c>
      <c r="D8" s="243"/>
      <c r="E8" s="20">
        <f>'DOE25'!L203+'DOE25'!L221+'DOE25'!L239-F8-G8-D9-D11</f>
        <v>41888.53</v>
      </c>
      <c r="F8" s="255">
        <f>'DOE25'!J203+'DOE25'!J221+'DOE25'!J239</f>
        <v>799</v>
      </c>
      <c r="G8" s="53">
        <f>'DOE25'!K203+'DOE25'!K221+'DOE25'!K239</f>
        <v>15594.01</v>
      </c>
      <c r="H8" s="259"/>
    </row>
    <row r="9" spans="1:9" x14ac:dyDescent="0.2">
      <c r="A9" s="32">
        <v>2310</v>
      </c>
      <c r="B9" t="s">
        <v>818</v>
      </c>
      <c r="C9" s="245">
        <f t="shared" si="0"/>
        <v>37194.21</v>
      </c>
      <c r="D9" s="244">
        <v>37194.21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10445</v>
      </c>
      <c r="D10" s="243"/>
      <c r="E10" s="244">
        <v>10445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215637.63</v>
      </c>
      <c r="D11" s="244">
        <v>215637.63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1047786.51</v>
      </c>
      <c r="D12" s="20">
        <f>'DOE25'!L204+'DOE25'!L222+'DOE25'!L240-F12-G12</f>
        <v>1030949.5499999999</v>
      </c>
      <c r="E12" s="243"/>
      <c r="F12" s="255">
        <f>'DOE25'!J204+'DOE25'!J222+'DOE25'!J240</f>
        <v>2064.8000000000002</v>
      </c>
      <c r="G12" s="53">
        <f>'DOE25'!K204+'DOE25'!K222+'DOE25'!K240</f>
        <v>14772.16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303640.73</v>
      </c>
      <c r="D13" s="243"/>
      <c r="E13" s="20">
        <f>'DOE25'!L205+'DOE25'!L223+'DOE25'!L241-F13-G13</f>
        <v>301811.50999999995</v>
      </c>
      <c r="F13" s="255">
        <f>'DOE25'!J205+'DOE25'!J223+'DOE25'!J241</f>
        <v>219.95</v>
      </c>
      <c r="G13" s="53">
        <f>'DOE25'!K205+'DOE25'!K223+'DOE25'!K241</f>
        <v>1609.27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1445706.63</v>
      </c>
      <c r="D14" s="20">
        <f>'DOE25'!L206+'DOE25'!L224+'DOE25'!L242-F14-G14</f>
        <v>1440967.3699999999</v>
      </c>
      <c r="E14" s="243"/>
      <c r="F14" s="255">
        <f>'DOE25'!J206+'DOE25'!J224+'DOE25'!J242</f>
        <v>4739.26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969720.89999999991</v>
      </c>
      <c r="D15" s="20">
        <f>'DOE25'!L207+'DOE25'!L225+'DOE25'!L243-F15-G15</f>
        <v>969720.89999999991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10372.93</v>
      </c>
      <c r="D19" s="20">
        <f>'DOE25'!L252-F19-G19</f>
        <v>10372.93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121814.69</v>
      </c>
      <c r="D22" s="243"/>
      <c r="E22" s="243"/>
      <c r="F22" s="255">
        <f>'DOE25'!L254+'DOE25'!L335</f>
        <v>121814.69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512000</v>
      </c>
      <c r="D25" s="243"/>
      <c r="E25" s="243"/>
      <c r="F25" s="258"/>
      <c r="G25" s="256"/>
      <c r="H25" s="257">
        <f>'DOE25'!L259+'DOE25'!L260+'DOE25'!L340+'DOE25'!L341</f>
        <v>512000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388483.33000000007</v>
      </c>
      <c r="D29" s="20">
        <f>'DOE25'!L357+'DOE25'!L358+'DOE25'!L359-'DOE25'!I366-F29-G29</f>
        <v>388483.33000000007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801827.13</v>
      </c>
      <c r="D31" s="20">
        <f>'DOE25'!L289+'DOE25'!L308+'DOE25'!L327+'DOE25'!L332+'DOE25'!L333+'DOE25'!L334-F31-G31</f>
        <v>720312.94000000006</v>
      </c>
      <c r="E31" s="243"/>
      <c r="F31" s="255">
        <f>'DOE25'!J289+'DOE25'!J308+'DOE25'!J327+'DOE25'!J332+'DOE25'!J333+'DOE25'!J334</f>
        <v>79920.23</v>
      </c>
      <c r="G31" s="53">
        <f>'DOE25'!K289+'DOE25'!K308+'DOE25'!K327+'DOE25'!K332+'DOE25'!K333+'DOE25'!K334</f>
        <v>1593.96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18267518.900000002</v>
      </c>
      <c r="E33" s="246">
        <f>SUM(E5:E31)</f>
        <v>354145.03999999992</v>
      </c>
      <c r="F33" s="246">
        <f>SUM(F5:F31)</f>
        <v>319804</v>
      </c>
      <c r="G33" s="246">
        <f>SUM(G5:G31)</f>
        <v>51446.649999999994</v>
      </c>
      <c r="H33" s="246">
        <f>SUM(H5:H31)</f>
        <v>512000</v>
      </c>
    </row>
    <row r="35" spans="2:8" ht="12" thickBot="1" x14ac:dyDescent="0.25">
      <c r="B35" s="253" t="s">
        <v>847</v>
      </c>
      <c r="D35" s="254">
        <f>E33</f>
        <v>354145.03999999992</v>
      </c>
      <c r="E35" s="249"/>
    </row>
    <row r="36" spans="2:8" ht="12" thickTop="1" x14ac:dyDescent="0.2">
      <c r="B36" t="s">
        <v>815</v>
      </c>
      <c r="D36" s="20">
        <f>D33</f>
        <v>18267518.900000002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3" sqref="A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Shaker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544583.04</v>
      </c>
      <c r="D8" s="95">
        <f>'DOE25'!G9</f>
        <v>14909.01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2697.34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519823.03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287207.78999999998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7660</v>
      </c>
      <c r="D12" s="95">
        <f>'DOE25'!G13</f>
        <v>57954.080000000002</v>
      </c>
      <c r="E12" s="95">
        <f>'DOE25'!H13</f>
        <v>255645.73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3560.93</v>
      </c>
      <c r="D13" s="95">
        <f>'DOE25'!G14</f>
        <v>3995.77</v>
      </c>
      <c r="E13" s="95">
        <f>'DOE25'!H14</f>
        <v>2395.41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33333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879042.1</v>
      </c>
      <c r="D18" s="41">
        <f>SUM(D8:D17)</f>
        <v>76858.86</v>
      </c>
      <c r="E18" s="41">
        <f>SUM(E8:E17)</f>
        <v>258041.14</v>
      </c>
      <c r="F18" s="41">
        <f>SUM(F8:F17)</f>
        <v>0</v>
      </c>
      <c r="G18" s="41">
        <f>SUM(G8:G17)</f>
        <v>519823.03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62016.76</v>
      </c>
      <c r="E21" s="95">
        <f>'DOE25'!H22</f>
        <v>251635.67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44023.97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21223.07</v>
      </c>
      <c r="D23" s="95">
        <f>'DOE25'!G24</f>
        <v>0</v>
      </c>
      <c r="E23" s="95">
        <f>'DOE25'!H24</f>
        <v>3263.52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418.35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777.3</v>
      </c>
      <c r="D29" s="95">
        <f>'DOE25'!G30</f>
        <v>6696.75</v>
      </c>
      <c r="E29" s="95">
        <f>'DOE25'!H30</f>
        <v>3141.95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66024.34</v>
      </c>
      <c r="D31" s="41">
        <f>SUM(D21:D30)</f>
        <v>69131.86</v>
      </c>
      <c r="E31" s="41">
        <f>SUM(E21:E30)</f>
        <v>258041.14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7727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51687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519823.03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164735.92000000001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546594.84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813017.76</v>
      </c>
      <c r="D49" s="41">
        <f>SUM(D34:D48)</f>
        <v>7727</v>
      </c>
      <c r="E49" s="41">
        <f>SUM(E34:E48)</f>
        <v>0</v>
      </c>
      <c r="F49" s="41">
        <f>SUM(F34:F48)</f>
        <v>0</v>
      </c>
      <c r="G49" s="41">
        <f>SUM(G34:G48)</f>
        <v>519823.03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879042.1</v>
      </c>
      <c r="D50" s="41">
        <f>D49+D31</f>
        <v>76858.86</v>
      </c>
      <c r="E50" s="41">
        <f>E49+E31</f>
        <v>258041.14</v>
      </c>
      <c r="F50" s="41">
        <f>F49+F31</f>
        <v>0</v>
      </c>
      <c r="G50" s="41">
        <f>G49+G31</f>
        <v>519823.03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11316403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1050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560.68000000000006</v>
      </c>
      <c r="D58" s="95">
        <f>'DOE25'!G95</f>
        <v>59.43</v>
      </c>
      <c r="E58" s="95">
        <f>'DOE25'!H95</f>
        <v>0</v>
      </c>
      <c r="F58" s="95">
        <f>'DOE25'!I95</f>
        <v>0</v>
      </c>
      <c r="G58" s="95">
        <f>'DOE25'!J95</f>
        <v>380.1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254637.23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5946.44</v>
      </c>
      <c r="D60" s="95">
        <f>SUM('DOE25'!G97:G109)</f>
        <v>0</v>
      </c>
      <c r="E60" s="95">
        <f>SUM('DOE25'!H97:H109)</f>
        <v>33418.21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7557.12</v>
      </c>
      <c r="D61" s="130">
        <f>SUM(D56:D60)</f>
        <v>254696.66</v>
      </c>
      <c r="E61" s="130">
        <f>SUM(E56:E60)</f>
        <v>33418.21</v>
      </c>
      <c r="F61" s="130">
        <f>SUM(F56:F60)</f>
        <v>0</v>
      </c>
      <c r="G61" s="130">
        <f>SUM(G56:G60)</f>
        <v>380.1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11323960.119999999</v>
      </c>
      <c r="D62" s="22">
        <f>D55+D61</f>
        <v>254696.66</v>
      </c>
      <c r="E62" s="22">
        <f>E55+E61</f>
        <v>33418.21</v>
      </c>
      <c r="F62" s="22">
        <f>F55+F61</f>
        <v>0</v>
      </c>
      <c r="G62" s="22">
        <f>G55+G61</f>
        <v>380.1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4598705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2192557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631.04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6791893.04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259004.76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80994.960000000006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12622.31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7665.51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352622.03</v>
      </c>
      <c r="D77" s="130">
        <f>SUM(D71:D76)</f>
        <v>7665.51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7144515.0700000003</v>
      </c>
      <c r="D80" s="130">
        <f>SUM(D78:D79)+D77+D69</f>
        <v>7665.51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151588.47</v>
      </c>
      <c r="D87" s="95">
        <f>SUM('DOE25'!G152:G160)</f>
        <v>289482.55</v>
      </c>
      <c r="E87" s="95">
        <f>SUM('DOE25'!H152:H160)</f>
        <v>768408.91999999993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151588.47</v>
      </c>
      <c r="D90" s="131">
        <f>SUM(D84:D89)</f>
        <v>289482.55</v>
      </c>
      <c r="E90" s="131">
        <f>SUM(E84:E89)</f>
        <v>768408.91999999993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74066.33</v>
      </c>
      <c r="E95" s="95">
        <f>'DOE25'!H178</f>
        <v>0</v>
      </c>
      <c r="F95" s="95">
        <f>'DOE25'!I178</f>
        <v>0</v>
      </c>
      <c r="G95" s="95">
        <f>'DOE25'!J178</f>
        <v>200000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64200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64200</v>
      </c>
      <c r="D102" s="86">
        <f>SUM(D92:D101)</f>
        <v>74066.33</v>
      </c>
      <c r="E102" s="86">
        <f>SUM(E92:E101)</f>
        <v>0</v>
      </c>
      <c r="F102" s="86">
        <f>SUM(F92:F101)</f>
        <v>0</v>
      </c>
      <c r="G102" s="86">
        <f>SUM(G92:G101)</f>
        <v>200000</v>
      </c>
    </row>
    <row r="103" spans="1:7" ht="12.75" thickTop="1" thickBot="1" x14ac:dyDescent="0.25">
      <c r="A103" s="33" t="s">
        <v>765</v>
      </c>
      <c r="C103" s="86">
        <f>C62+C80+C90+C102</f>
        <v>18684263.659999996</v>
      </c>
      <c r="D103" s="86">
        <f>D62+D80+D90+D102</f>
        <v>625911.04999999993</v>
      </c>
      <c r="E103" s="86">
        <f>E62+E80+E90+E102</f>
        <v>801827.12999999989</v>
      </c>
      <c r="F103" s="86">
        <f>F62+F80+F90+F102</f>
        <v>0</v>
      </c>
      <c r="G103" s="86">
        <f>G62+G80+G102</f>
        <v>200380.1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8306129.1199999992</v>
      </c>
      <c r="D108" s="24" t="s">
        <v>289</v>
      </c>
      <c r="E108" s="95">
        <f>('DOE25'!L275)+('DOE25'!L294)+('DOE25'!L313)</f>
        <v>28765.82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2231985.1999999997</v>
      </c>
      <c r="D109" s="24" t="s">
        <v>289</v>
      </c>
      <c r="E109" s="95">
        <f>('DOE25'!L276)+('DOE25'!L295)+('DOE25'!L314)</f>
        <v>589822.53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158725.31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316583.69999999995</v>
      </c>
      <c r="D111" s="24" t="s">
        <v>289</v>
      </c>
      <c r="E111" s="95">
        <f>+('DOE25'!L278)+('DOE25'!L297)+('DOE25'!L316)</f>
        <v>48123.86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10372.93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11023796.259999998</v>
      </c>
      <c r="D114" s="86">
        <f>SUM(D108:D113)</f>
        <v>0</v>
      </c>
      <c r="E114" s="86">
        <f>SUM(E108:E113)</f>
        <v>666712.21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1721946.01</v>
      </c>
      <c r="D117" s="24" t="s">
        <v>289</v>
      </c>
      <c r="E117" s="95">
        <f>+('DOE25'!L280)+('DOE25'!L299)+('DOE25'!L318)</f>
        <v>63202.41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846634.02</v>
      </c>
      <c r="D118" s="24" t="s">
        <v>289</v>
      </c>
      <c r="E118" s="95">
        <f>+('DOE25'!L281)+('DOE25'!L300)+('DOE25'!L319)</f>
        <v>49250.94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311113.38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1047786.51</v>
      </c>
      <c r="D120" s="24" t="s">
        <v>289</v>
      </c>
      <c r="E120" s="95">
        <f>+('DOE25'!L283)+('DOE25'!L302)+('DOE25'!L321)</f>
        <v>8249.68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303640.73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1445706.63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969720.89999999991</v>
      </c>
      <c r="D123" s="24" t="s">
        <v>289</v>
      </c>
      <c r="E123" s="95">
        <f>+('DOE25'!L286)+('DOE25'!L305)+('DOE25'!L324)</f>
        <v>14411.89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618184.05000000005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6646548.1799999997</v>
      </c>
      <c r="D127" s="86">
        <f>SUM(D117:D126)</f>
        <v>618184.05000000005</v>
      </c>
      <c r="E127" s="86">
        <f>SUM(E117:E126)</f>
        <v>135114.91999999998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121814.69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500000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12000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166844.14000000001</v>
      </c>
    </row>
    <row r="134" spans="1:7" x14ac:dyDescent="0.2">
      <c r="A134" t="s">
        <v>233</v>
      </c>
      <c r="B134" s="32" t="s">
        <v>234</v>
      </c>
      <c r="C134" s="95">
        <f>'DOE25'!L262</f>
        <v>74066.33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18.54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200361.56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-380.10000000000582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907881.0199999999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166844.14000000001</v>
      </c>
    </row>
    <row r="144" spans="1:7" ht="12.75" thickTop="1" thickBot="1" x14ac:dyDescent="0.25">
      <c r="A144" s="33" t="s">
        <v>244</v>
      </c>
      <c r="C144" s="86">
        <f>(C114+C127+C143)</f>
        <v>18578225.459999997</v>
      </c>
      <c r="D144" s="86">
        <f>(D114+D127+D143)</f>
        <v>618184.05000000005</v>
      </c>
      <c r="E144" s="86">
        <f>(E114+E127+E143)</f>
        <v>801827.12999999989</v>
      </c>
      <c r="F144" s="86">
        <f>(F114+F127+F143)</f>
        <v>0</v>
      </c>
      <c r="G144" s="86">
        <f>(G114+G127+G143)</f>
        <v>166844.14000000001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8/97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8/12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7500000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4.75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500000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500000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500000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500000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Shaker Regional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13324</v>
      </c>
    </row>
    <row r="5" spans="1:4" x14ac:dyDescent="0.2">
      <c r="B5" t="s">
        <v>704</v>
      </c>
      <c r="C5" s="179">
        <f>IF('DOE25'!G664+'DOE25'!G669=0,0,ROUND('DOE25'!G671,0))</f>
        <v>14840</v>
      </c>
    </row>
    <row r="6" spans="1:4" x14ac:dyDescent="0.2">
      <c r="B6" t="s">
        <v>62</v>
      </c>
      <c r="C6" s="179">
        <f>IF('DOE25'!H664+'DOE25'!H669=0,0,ROUND('DOE25'!H671,0))</f>
        <v>12472</v>
      </c>
    </row>
    <row r="7" spans="1:4" x14ac:dyDescent="0.2">
      <c r="B7" t="s">
        <v>705</v>
      </c>
      <c r="C7" s="179">
        <f>IF('DOE25'!I664+'DOE25'!I669=0,0,ROUND('DOE25'!I671,0))</f>
        <v>13505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8334895</v>
      </c>
      <c r="D10" s="182">
        <f>ROUND((C10/$C$28)*100,1)</f>
        <v>44.2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2821808</v>
      </c>
      <c r="D11" s="182">
        <f>ROUND((C11/$C$28)*100,1)</f>
        <v>15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158725</v>
      </c>
      <c r="D12" s="182">
        <f>ROUND((C12/$C$28)*100,1)</f>
        <v>0.8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364708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1785148</v>
      </c>
      <c r="D15" s="182">
        <f t="shared" ref="D15:D27" si="0">ROUND((C15/$C$28)*100,1)</f>
        <v>9.5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895885</v>
      </c>
      <c r="D16" s="182">
        <f t="shared" si="0"/>
        <v>4.8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311113</v>
      </c>
      <c r="D17" s="182">
        <f t="shared" si="0"/>
        <v>1.7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1056036</v>
      </c>
      <c r="D18" s="182">
        <f t="shared" si="0"/>
        <v>5.6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303641</v>
      </c>
      <c r="D19" s="182">
        <f t="shared" si="0"/>
        <v>1.6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1445707</v>
      </c>
      <c r="D20" s="182">
        <f t="shared" si="0"/>
        <v>7.7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984133</v>
      </c>
      <c r="D21" s="182">
        <f t="shared" si="0"/>
        <v>5.2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10373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ROUND('DOE25'!L260+'DOE25'!L341,0)</f>
        <v>12000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363546.77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18847718.77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121815</v>
      </c>
    </row>
    <row r="30" spans="1:4" x14ac:dyDescent="0.2">
      <c r="B30" s="187" t="s">
        <v>729</v>
      </c>
      <c r="C30" s="180">
        <f>SUM(C28:C29)</f>
        <v>18969533.77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500000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11316403</v>
      </c>
      <c r="D35" s="182">
        <f t="shared" ref="D35:D40" si="1">ROUND((C35/$C$41)*100,1)</f>
        <v>57.4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41414.859999999404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6791262</v>
      </c>
      <c r="D37" s="182">
        <f t="shared" si="1"/>
        <v>34.4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360919</v>
      </c>
      <c r="D38" s="182">
        <f t="shared" si="1"/>
        <v>1.8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1209480</v>
      </c>
      <c r="D39" s="182">
        <f t="shared" si="1"/>
        <v>6.1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19719478.859999999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7" sqref="C7:M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5" t="s">
        <v>770</v>
      </c>
      <c r="B1" s="286"/>
      <c r="C1" s="286"/>
      <c r="D1" s="286"/>
      <c r="E1" s="286"/>
      <c r="F1" s="286"/>
      <c r="G1" s="286"/>
      <c r="H1" s="286"/>
      <c r="I1" s="286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89" t="str">
        <f>'DOE25'!A2</f>
        <v>Shaker Regional School District</v>
      </c>
      <c r="G2" s="290"/>
      <c r="H2" s="290"/>
      <c r="I2" s="29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7" t="s">
        <v>771</v>
      </c>
      <c r="D3" s="287"/>
      <c r="E3" s="287"/>
      <c r="F3" s="287"/>
      <c r="G3" s="287"/>
      <c r="H3" s="287"/>
      <c r="I3" s="287"/>
      <c r="J3" s="287"/>
      <c r="K3" s="287"/>
      <c r="L3" s="287"/>
      <c r="M3" s="288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4</v>
      </c>
      <c r="B5" s="219">
        <v>3</v>
      </c>
      <c r="C5" s="282" t="s">
        <v>912</v>
      </c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7"/>
      <c r="AO29" s="207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7"/>
      <c r="BB29" s="207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7"/>
      <c r="BO29" s="207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7"/>
      <c r="CB29" s="207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7"/>
      <c r="CO29" s="207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7"/>
      <c r="DB29" s="207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7"/>
      <c r="DO29" s="207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7"/>
      <c r="EB29" s="207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7"/>
      <c r="EO29" s="207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7"/>
      <c r="FB29" s="207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7"/>
      <c r="FO29" s="207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7"/>
      <c r="GB29" s="207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7"/>
      <c r="GO29" s="207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7"/>
      <c r="HB29" s="207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7"/>
      <c r="HO29" s="207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7"/>
      <c r="IB29" s="207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7"/>
      <c r="IO29" s="207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7"/>
      <c r="AO30" s="207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7"/>
      <c r="BB30" s="207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7"/>
      <c r="BO30" s="207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7"/>
      <c r="CB30" s="207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7"/>
      <c r="CO30" s="207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7"/>
      <c r="DB30" s="207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7"/>
      <c r="DO30" s="207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7"/>
      <c r="EB30" s="207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7"/>
      <c r="EO30" s="207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7"/>
      <c r="FB30" s="207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7"/>
      <c r="FO30" s="207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7"/>
      <c r="GB30" s="207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7"/>
      <c r="GO30" s="207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7"/>
      <c r="HB30" s="207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7"/>
      <c r="HO30" s="207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7"/>
      <c r="IB30" s="207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7"/>
      <c r="IO30" s="207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7"/>
      <c r="AO31" s="207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7"/>
      <c r="BB31" s="207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7"/>
      <c r="BO31" s="207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7"/>
      <c r="CB31" s="207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7"/>
      <c r="CO31" s="207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7"/>
      <c r="DB31" s="207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7"/>
      <c r="DO31" s="207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7"/>
      <c r="EB31" s="207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7"/>
      <c r="EO31" s="207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7"/>
      <c r="FB31" s="207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7"/>
      <c r="FO31" s="207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7"/>
      <c r="GB31" s="207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7"/>
      <c r="GO31" s="207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7"/>
      <c r="HB31" s="207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7"/>
      <c r="HO31" s="207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7"/>
      <c r="IB31" s="207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7"/>
      <c r="IO31" s="207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7"/>
      <c r="AO38" s="207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7"/>
      <c r="BB38" s="207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7"/>
      <c r="BO38" s="207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7"/>
      <c r="CB38" s="207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7"/>
      <c r="CO38" s="207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7"/>
      <c r="DB38" s="207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7"/>
      <c r="DO38" s="207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7"/>
      <c r="EB38" s="207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7"/>
      <c r="EO38" s="207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7"/>
      <c r="FB38" s="207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7"/>
      <c r="FO38" s="207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7"/>
      <c r="GB38" s="207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7"/>
      <c r="GO38" s="207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7"/>
      <c r="HB38" s="207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7"/>
      <c r="HO38" s="207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7"/>
      <c r="IB38" s="207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7"/>
      <c r="IO38" s="207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7"/>
      <c r="AO39" s="207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7"/>
      <c r="BB39" s="207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7"/>
      <c r="BO39" s="207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7"/>
      <c r="CB39" s="207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7"/>
      <c r="CO39" s="207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7"/>
      <c r="DB39" s="207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7"/>
      <c r="DO39" s="207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7"/>
      <c r="EB39" s="207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7"/>
      <c r="EO39" s="207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7"/>
      <c r="FB39" s="207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7"/>
      <c r="FO39" s="207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7"/>
      <c r="GB39" s="207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7"/>
      <c r="GO39" s="207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7"/>
      <c r="HB39" s="207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7"/>
      <c r="HO39" s="207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7"/>
      <c r="IB39" s="207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7"/>
      <c r="IO39" s="207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7"/>
      <c r="AO40" s="207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7"/>
      <c r="BB40" s="207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7"/>
      <c r="BO40" s="207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7"/>
      <c r="CB40" s="207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7"/>
      <c r="CO40" s="207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7"/>
      <c r="DB40" s="207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7"/>
      <c r="DO40" s="207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7"/>
      <c r="EB40" s="207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7"/>
      <c r="EO40" s="207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7"/>
      <c r="FB40" s="207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7"/>
      <c r="FO40" s="207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7"/>
      <c r="GB40" s="207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7"/>
      <c r="GO40" s="207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7"/>
      <c r="HB40" s="207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7"/>
      <c r="HO40" s="207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7"/>
      <c r="IB40" s="207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7"/>
      <c r="IO40" s="207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B0A" sheet="1" objects="1" scenarios="1"/>
  <mergeCells count="223">
    <mergeCell ref="C74:M74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76:M76"/>
    <mergeCell ref="C66:M66"/>
    <mergeCell ref="C70:M70"/>
    <mergeCell ref="A72:E72"/>
    <mergeCell ref="C73:M73"/>
    <mergeCell ref="C56:M56"/>
    <mergeCell ref="C57:M57"/>
    <mergeCell ref="C59:M59"/>
    <mergeCell ref="C60:M60"/>
    <mergeCell ref="C58:M58"/>
    <mergeCell ref="C62:M62"/>
    <mergeCell ref="C61:M61"/>
    <mergeCell ref="C52:M52"/>
    <mergeCell ref="C50:M50"/>
    <mergeCell ref="BC30:BM30"/>
    <mergeCell ref="BP30:BZ30"/>
    <mergeCell ref="DC30:DM30"/>
    <mergeCell ref="DP30:DZ30"/>
    <mergeCell ref="CC32:C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BC29:BM29"/>
    <mergeCell ref="BP29:BZ29"/>
    <mergeCell ref="CC29:CM29"/>
    <mergeCell ref="AP29:AZ29"/>
    <mergeCell ref="BC31:BM31"/>
    <mergeCell ref="BC32:BM32"/>
    <mergeCell ref="BC39:BM39"/>
    <mergeCell ref="BP31:BZ31"/>
    <mergeCell ref="C32:M32"/>
    <mergeCell ref="C30:M30"/>
    <mergeCell ref="C31:M31"/>
    <mergeCell ref="P31:Z31"/>
    <mergeCell ref="AC31:AM31"/>
    <mergeCell ref="C20:M20"/>
    <mergeCell ref="C7:M7"/>
    <mergeCell ref="C8:M8"/>
    <mergeCell ref="C13:M13"/>
    <mergeCell ref="C9:M9"/>
    <mergeCell ref="C10:M10"/>
    <mergeCell ref="C11:M11"/>
    <mergeCell ref="C12:M12"/>
    <mergeCell ref="C14:M14"/>
    <mergeCell ref="C15:M15"/>
    <mergeCell ref="C16:M16"/>
    <mergeCell ref="C17:M17"/>
    <mergeCell ref="C18:M18"/>
    <mergeCell ref="C19:M19"/>
    <mergeCell ref="P29:Z29"/>
    <mergeCell ref="AC29:AM29"/>
    <mergeCell ref="C28:M28"/>
    <mergeCell ref="A1:I1"/>
    <mergeCell ref="C3:M3"/>
    <mergeCell ref="C4:M4"/>
    <mergeCell ref="F2:I2"/>
    <mergeCell ref="P30:Z30"/>
    <mergeCell ref="AC30:AM30"/>
    <mergeCell ref="AP30:AZ30"/>
    <mergeCell ref="C41:M41"/>
    <mergeCell ref="C33:M33"/>
    <mergeCell ref="C37:M37"/>
    <mergeCell ref="P32:Z32"/>
    <mergeCell ref="AC32:AM32"/>
    <mergeCell ref="C34:M34"/>
    <mergeCell ref="AP31:AZ31"/>
    <mergeCell ref="AP32:AZ32"/>
    <mergeCell ref="C35:M35"/>
    <mergeCell ref="C36:M36"/>
    <mergeCell ref="C38:M38"/>
    <mergeCell ref="P39:Z39"/>
    <mergeCell ref="AC39:AM39"/>
    <mergeCell ref="AP39:AZ39"/>
    <mergeCell ref="A2:E2"/>
    <mergeCell ref="C5:M5"/>
    <mergeCell ref="C6:M6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EP31:EZ31"/>
    <mergeCell ref="IP30:IV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DC29:DM29"/>
    <mergeCell ref="DP29:DZ29"/>
    <mergeCell ref="GP31:GZ31"/>
    <mergeCell ref="HC31:HM31"/>
    <mergeCell ref="GC30:GM30"/>
    <mergeCell ref="CC31:CM31"/>
    <mergeCell ref="DC32:DM32"/>
    <mergeCell ref="BP32:BZ32"/>
    <mergeCell ref="CP31:CZ31"/>
    <mergeCell ref="IC31:IM31"/>
    <mergeCell ref="EC30:EM30"/>
    <mergeCell ref="EP30:EZ30"/>
    <mergeCell ref="DP32:DZ32"/>
    <mergeCell ref="EC32:EM32"/>
    <mergeCell ref="EP32:EZ32"/>
    <mergeCell ref="FC32:FM32"/>
    <mergeCell ref="FP32:FZ32"/>
    <mergeCell ref="GC32:GM32"/>
    <mergeCell ref="CC30:CM30"/>
    <mergeCell ref="DC31:DM31"/>
    <mergeCell ref="DP31:DZ31"/>
    <mergeCell ref="EC31:EM31"/>
    <mergeCell ref="HP31:HZ31"/>
    <mergeCell ref="HP30:HZ30"/>
    <mergeCell ref="FC30:FM30"/>
    <mergeCell ref="FP30:FZ30"/>
    <mergeCell ref="FC31:FM31"/>
    <mergeCell ref="FP31:FZ31"/>
    <mergeCell ref="GC31:GM31"/>
    <mergeCell ref="IP38:IV38"/>
    <mergeCell ref="CP38:CZ38"/>
    <mergeCell ref="BC38:BM38"/>
    <mergeCell ref="HP32:HZ32"/>
    <mergeCell ref="IC32:IM32"/>
    <mergeCell ref="IP32:IV32"/>
    <mergeCell ref="EP38:EZ38"/>
    <mergeCell ref="FC38:FM38"/>
    <mergeCell ref="FP38:FZ38"/>
    <mergeCell ref="HC32:HM32"/>
    <mergeCell ref="GP32:GZ32"/>
    <mergeCell ref="BP38:BZ38"/>
    <mergeCell ref="CC38:CM38"/>
    <mergeCell ref="DC38:DM38"/>
    <mergeCell ref="DP38:DZ38"/>
    <mergeCell ref="EC38:EM38"/>
    <mergeCell ref="P38:Z38"/>
    <mergeCell ref="AC38:AM38"/>
    <mergeCell ref="AP38:AZ38"/>
    <mergeCell ref="HP38:HZ38"/>
    <mergeCell ref="GC38:GM38"/>
    <mergeCell ref="GP38:GZ38"/>
    <mergeCell ref="HC38:HM38"/>
    <mergeCell ref="IC38:IM38"/>
    <mergeCell ref="DP39:DZ39"/>
    <mergeCell ref="EC39:EM39"/>
    <mergeCell ref="GC39:GM39"/>
    <mergeCell ref="BP39:BZ39"/>
    <mergeCell ref="CC39:CM39"/>
    <mergeCell ref="CP39:CZ39"/>
    <mergeCell ref="C46:M46"/>
    <mergeCell ref="GC40:GM40"/>
    <mergeCell ref="GP40:GZ40"/>
    <mergeCell ref="HC40:HM40"/>
    <mergeCell ref="HP40:HZ40"/>
    <mergeCell ref="EC40:EM40"/>
    <mergeCell ref="AP40:AZ40"/>
    <mergeCell ref="CC40:CM40"/>
    <mergeCell ref="CP40:CZ40"/>
    <mergeCell ref="P40:Z40"/>
    <mergeCell ref="C42:M42"/>
    <mergeCell ref="FC40:FM40"/>
    <mergeCell ref="FP40:FZ40"/>
    <mergeCell ref="AC40:AM40"/>
    <mergeCell ref="C45:M45"/>
    <mergeCell ref="DC40:DM40"/>
    <mergeCell ref="EP40:EZ40"/>
    <mergeCell ref="C44:M44"/>
    <mergeCell ref="DP40:DZ40"/>
    <mergeCell ref="IC40:IM40"/>
    <mergeCell ref="C43:M43"/>
    <mergeCell ref="BC40:BM40"/>
    <mergeCell ref="BP40:BZ40"/>
    <mergeCell ref="IP39:IV39"/>
    <mergeCell ref="EP39:EZ39"/>
    <mergeCell ref="FC39:FM39"/>
    <mergeCell ref="FP39:FZ39"/>
    <mergeCell ref="GP39:GZ39"/>
    <mergeCell ref="IP40:IV40"/>
    <mergeCell ref="HP39:HZ39"/>
    <mergeCell ref="IC39:IM39"/>
    <mergeCell ref="HC39:HM39"/>
    <mergeCell ref="DC39:DM3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2013-09-17T14:13:15Z</cp:lastPrinted>
  <dcterms:created xsi:type="dcterms:W3CDTF">1997-12-04T19:04:30Z</dcterms:created>
  <dcterms:modified xsi:type="dcterms:W3CDTF">2013-12-05T18:59:16Z</dcterms:modified>
</cp:coreProperties>
</file>