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I315" i="1" l="1"/>
  <c r="H47" i="1"/>
  <c r="H379" i="1"/>
  <c r="H610" i="1" l="1"/>
  <c r="D9" i="13" l="1"/>
  <c r="K275" i="1"/>
  <c r="K276" i="1"/>
  <c r="K297" i="1"/>
  <c r="K315" i="1"/>
  <c r="J276" i="1"/>
  <c r="I297" i="1"/>
  <c r="I276" i="1"/>
  <c r="I275" i="1"/>
  <c r="H286" i="1"/>
  <c r="H315" i="1"/>
  <c r="H281" i="1"/>
  <c r="H300" i="1"/>
  <c r="H275" i="1"/>
  <c r="H276" i="1"/>
  <c r="C11" i="12"/>
  <c r="C20" i="12"/>
  <c r="C39" i="12"/>
  <c r="C29" i="12"/>
  <c r="G275" i="1"/>
  <c r="G276" i="1"/>
  <c r="B39" i="12"/>
  <c r="B29" i="12"/>
  <c r="B20" i="12"/>
  <c r="B11" i="12"/>
  <c r="B10" i="12"/>
  <c r="B19" i="12"/>
  <c r="F297" i="1"/>
  <c r="F315" i="1"/>
  <c r="F275" i="1"/>
  <c r="H154" i="1"/>
  <c r="H155" i="1"/>
  <c r="H153" i="1"/>
  <c r="B21" i="12"/>
  <c r="C19" i="12"/>
  <c r="C21" i="12"/>
  <c r="C12" i="12"/>
  <c r="C10" i="12"/>
  <c r="B12" i="12"/>
  <c r="J497" i="1"/>
  <c r="I497" i="1"/>
  <c r="H497" i="1"/>
  <c r="G497" i="1"/>
  <c r="F497" i="1"/>
  <c r="I24" i="1"/>
  <c r="H458" i="1"/>
  <c r="I399" i="1"/>
  <c r="H425" i="1"/>
  <c r="I425" i="1"/>
  <c r="G425" i="1"/>
  <c r="H367" i="1" l="1"/>
  <c r="G367" i="1"/>
  <c r="F367" i="1"/>
  <c r="G47" i="1"/>
  <c r="G96" i="1"/>
  <c r="F56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F17" i="13"/>
  <c r="D17" i="13" s="1"/>
  <c r="C17" i="13" s="1"/>
  <c r="G17" i="13"/>
  <c r="L250" i="1"/>
  <c r="F18" i="13"/>
  <c r="G18" i="13"/>
  <c r="L251" i="1"/>
  <c r="F19" i="13"/>
  <c r="G19" i="13"/>
  <c r="L252" i="1"/>
  <c r="C113" i="2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E119" i="2" s="1"/>
  <c r="L283" i="1"/>
  <c r="L284" i="1"/>
  <c r="E121" i="2" s="1"/>
  <c r="L285" i="1"/>
  <c r="L286" i="1"/>
  <c r="E123" i="2" s="1"/>
  <c r="L287" i="1"/>
  <c r="L294" i="1"/>
  <c r="L295" i="1"/>
  <c r="L296" i="1"/>
  <c r="L297" i="1"/>
  <c r="L299" i="1"/>
  <c r="L300" i="1"/>
  <c r="L308" i="1" s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E113" i="2" s="1"/>
  <c r="L259" i="1"/>
  <c r="C32" i="10" s="1"/>
  <c r="L260" i="1"/>
  <c r="C25" i="10" s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L611" i="1"/>
  <c r="L610" i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E56" i="2" s="1"/>
  <c r="H93" i="1"/>
  <c r="H110" i="1"/>
  <c r="I110" i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H161" i="1"/>
  <c r="H168" i="1" s="1"/>
  <c r="I146" i="1"/>
  <c r="F84" i="2" s="1"/>
  <c r="I161" i="1"/>
  <c r="L249" i="1"/>
  <c r="C112" i="2" s="1"/>
  <c r="L331" i="1"/>
  <c r="E112" i="2" s="1"/>
  <c r="L253" i="1"/>
  <c r="L267" i="1"/>
  <c r="L268" i="1"/>
  <c r="L348" i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D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E110" i="2"/>
  <c r="D114" i="2"/>
  <c r="F114" i="2"/>
  <c r="G114" i="2"/>
  <c r="E118" i="2"/>
  <c r="E120" i="2"/>
  <c r="E122" i="2"/>
  <c r="E124" i="2"/>
  <c r="F127" i="2"/>
  <c r="G127" i="2"/>
  <c r="E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G621" i="1" s="1"/>
  <c r="G50" i="1"/>
  <c r="G622" i="1" s="1"/>
  <c r="H50" i="1"/>
  <c r="H51" i="1" s="1"/>
  <c r="H618" i="1" s="1"/>
  <c r="I50" i="1"/>
  <c r="I51" i="1" s="1"/>
  <c r="H619" i="1" s="1"/>
  <c r="F176" i="1"/>
  <c r="F191" i="1" s="1"/>
  <c r="I176" i="1"/>
  <c r="F182" i="1"/>
  <c r="G182" i="1"/>
  <c r="H182" i="1"/>
  <c r="H191" i="1" s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H603" i="1" s="1"/>
  <c r="K210" i="1"/>
  <c r="F228" i="1"/>
  <c r="G228" i="1"/>
  <c r="H228" i="1"/>
  <c r="I228" i="1"/>
  <c r="J228" i="1"/>
  <c r="I603" i="1" s="1"/>
  <c r="K228" i="1"/>
  <c r="F246" i="1"/>
  <c r="G246" i="1"/>
  <c r="H246" i="1"/>
  <c r="I246" i="1"/>
  <c r="J246" i="1"/>
  <c r="J603" i="1" s="1"/>
  <c r="J604" i="1" s="1"/>
  <c r="K246" i="1"/>
  <c r="F255" i="1"/>
  <c r="G255" i="1"/>
  <c r="H255" i="1"/>
  <c r="L255" i="1" s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H407" i="1" s="1"/>
  <c r="H643" i="1" s="1"/>
  <c r="J643" i="1" s="1"/>
  <c r="I406" i="1"/>
  <c r="G407" i="1"/>
  <c r="H644" i="1" s="1"/>
  <c r="J644" i="1" s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L426" i="1" s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G640" i="1" s="1"/>
  <c r="I445" i="1"/>
  <c r="G641" i="1" s="1"/>
  <c r="F451" i="1"/>
  <c r="G451" i="1"/>
  <c r="H451" i="1"/>
  <c r="I451" i="1"/>
  <c r="F459" i="1"/>
  <c r="G459" i="1"/>
  <c r="H459" i="1"/>
  <c r="H460" i="1" s="1"/>
  <c r="H640" i="1" s="1"/>
  <c r="I459" i="1"/>
  <c r="F460" i="1"/>
  <c r="G460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F570" i="1" s="1"/>
  <c r="G559" i="1"/>
  <c r="H559" i="1"/>
  <c r="I559" i="1"/>
  <c r="J559" i="1"/>
  <c r="J570" i="1" s="1"/>
  <c r="K559" i="1"/>
  <c r="K570" i="1" s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I604" i="1"/>
  <c r="F613" i="1"/>
  <c r="G613" i="1"/>
  <c r="H613" i="1"/>
  <c r="I613" i="1"/>
  <c r="J613" i="1"/>
  <c r="K613" i="1"/>
  <c r="G618" i="1"/>
  <c r="G619" i="1"/>
  <c r="G638" i="1"/>
  <c r="H638" i="1"/>
  <c r="H639" i="1"/>
  <c r="G642" i="1"/>
  <c r="G643" i="1"/>
  <c r="G644" i="1"/>
  <c r="G651" i="1"/>
  <c r="H651" i="1"/>
  <c r="G652" i="1"/>
  <c r="H652" i="1"/>
  <c r="G653" i="1"/>
  <c r="H653" i="1"/>
  <c r="H654" i="1"/>
  <c r="G102" i="2"/>
  <c r="J139" i="1"/>
  <c r="I551" i="1"/>
  <c r="G22" i="2"/>
  <c r="H139" i="1"/>
  <c r="L569" i="1"/>
  <c r="G36" i="2"/>
  <c r="G662" i="1" l="1"/>
  <c r="F61" i="2"/>
  <c r="I460" i="1"/>
  <c r="H641" i="1" s="1"/>
  <c r="H570" i="1"/>
  <c r="L559" i="1"/>
  <c r="H551" i="1"/>
  <c r="L533" i="1"/>
  <c r="J551" i="1"/>
  <c r="H544" i="1"/>
  <c r="I570" i="1"/>
  <c r="L564" i="1"/>
  <c r="F551" i="1"/>
  <c r="K548" i="1"/>
  <c r="H646" i="1"/>
  <c r="K499" i="1"/>
  <c r="G162" i="2"/>
  <c r="K603" i="1"/>
  <c r="K604" i="1" s="1"/>
  <c r="G647" i="1" s="1"/>
  <c r="F662" i="1"/>
  <c r="H604" i="1"/>
  <c r="F661" i="1"/>
  <c r="H337" i="1"/>
  <c r="H351" i="1" s="1"/>
  <c r="E111" i="2"/>
  <c r="L289" i="1"/>
  <c r="F337" i="1"/>
  <c r="F351" i="1" s="1"/>
  <c r="E31" i="2"/>
  <c r="D31" i="2"/>
  <c r="D50" i="2" s="1"/>
  <c r="G163" i="2"/>
  <c r="G161" i="2"/>
  <c r="K502" i="1"/>
  <c r="G160" i="2"/>
  <c r="G159" i="2"/>
  <c r="G158" i="2"/>
  <c r="G157" i="2"/>
  <c r="G156" i="2"/>
  <c r="G155" i="2"/>
  <c r="L400" i="1"/>
  <c r="C138" i="2" s="1"/>
  <c r="G660" i="1"/>
  <c r="D29" i="13"/>
  <c r="C29" i="13" s="1"/>
  <c r="L361" i="1"/>
  <c r="G471" i="1" s="1"/>
  <c r="H660" i="1"/>
  <c r="D126" i="2"/>
  <c r="D127" i="2" s="1"/>
  <c r="D144" i="2" s="1"/>
  <c r="H662" i="1"/>
  <c r="A40" i="12"/>
  <c r="D61" i="2"/>
  <c r="G616" i="1"/>
  <c r="C35" i="10"/>
  <c r="C49" i="2"/>
  <c r="F51" i="1"/>
  <c r="H616" i="1" s="1"/>
  <c r="C131" i="2"/>
  <c r="H25" i="13"/>
  <c r="C25" i="13" s="1"/>
  <c r="C130" i="2"/>
  <c r="C17" i="10"/>
  <c r="C11" i="10"/>
  <c r="D12" i="13"/>
  <c r="C12" i="13" s="1"/>
  <c r="L613" i="1"/>
  <c r="K597" i="1"/>
  <c r="G646" i="1" s="1"/>
  <c r="J646" i="1" s="1"/>
  <c r="J648" i="1"/>
  <c r="I544" i="1"/>
  <c r="K549" i="1"/>
  <c r="L543" i="1"/>
  <c r="K544" i="1"/>
  <c r="G544" i="1"/>
  <c r="K550" i="1"/>
  <c r="G551" i="1"/>
  <c r="L528" i="1"/>
  <c r="J544" i="1"/>
  <c r="L523" i="1"/>
  <c r="J638" i="1"/>
  <c r="J640" i="1"/>
  <c r="J639" i="1"/>
  <c r="L418" i="1"/>
  <c r="I407" i="1"/>
  <c r="F407" i="1"/>
  <c r="H642" i="1" s="1"/>
  <c r="J642" i="1" s="1"/>
  <c r="L392" i="1"/>
  <c r="C137" i="2" s="1"/>
  <c r="F129" i="2"/>
  <c r="F143" i="2" s="1"/>
  <c r="F144" i="2" s="1"/>
  <c r="L381" i="1"/>
  <c r="J633" i="1"/>
  <c r="F660" i="1"/>
  <c r="C26" i="10"/>
  <c r="E141" i="2"/>
  <c r="L350" i="1"/>
  <c r="E143" i="2"/>
  <c r="L336" i="1"/>
  <c r="G337" i="1"/>
  <c r="G351" i="1" s="1"/>
  <c r="E127" i="2"/>
  <c r="L327" i="1"/>
  <c r="C21" i="10"/>
  <c r="C18" i="10"/>
  <c r="C16" i="10"/>
  <c r="C119" i="2"/>
  <c r="G661" i="1"/>
  <c r="C117" i="2"/>
  <c r="C124" i="2"/>
  <c r="C121" i="2"/>
  <c r="K337" i="1"/>
  <c r="K351" i="1" s="1"/>
  <c r="E114" i="2"/>
  <c r="J337" i="1"/>
  <c r="J351" i="1" s="1"/>
  <c r="J654" i="1"/>
  <c r="G650" i="1"/>
  <c r="J650" i="1" s="1"/>
  <c r="C118" i="2"/>
  <c r="H661" i="1"/>
  <c r="G649" i="1"/>
  <c r="J649" i="1" s="1"/>
  <c r="C123" i="2"/>
  <c r="C19" i="10"/>
  <c r="C15" i="10"/>
  <c r="E8" i="13"/>
  <c r="C8" i="13" s="1"/>
  <c r="C120" i="2"/>
  <c r="D15" i="13"/>
  <c r="C15" i="13" s="1"/>
  <c r="C20" i="10"/>
  <c r="D7" i="13"/>
  <c r="C7" i="13" s="1"/>
  <c r="E16" i="13"/>
  <c r="C16" i="13" s="1"/>
  <c r="E13" i="13"/>
  <c r="C13" i="13" s="1"/>
  <c r="C122" i="2"/>
  <c r="D14" i="13"/>
  <c r="C14" i="13" s="1"/>
  <c r="D6" i="13"/>
  <c r="C6" i="13" s="1"/>
  <c r="D18" i="13"/>
  <c r="C18" i="13" s="1"/>
  <c r="C29" i="10"/>
  <c r="F22" i="13"/>
  <c r="C22" i="13" s="1"/>
  <c r="D19" i="13"/>
  <c r="C19" i="13" s="1"/>
  <c r="C23" i="10"/>
  <c r="C13" i="10"/>
  <c r="K256" i="1"/>
  <c r="K270" i="1" s="1"/>
  <c r="C110" i="2"/>
  <c r="L246" i="1"/>
  <c r="L228" i="1"/>
  <c r="L210" i="1"/>
  <c r="A13" i="12"/>
  <c r="G256" i="1"/>
  <c r="G270" i="1" s="1"/>
  <c r="F256" i="1"/>
  <c r="F270" i="1" s="1"/>
  <c r="H256" i="1"/>
  <c r="H270" i="1" s="1"/>
  <c r="A31" i="12"/>
  <c r="C10" i="10"/>
  <c r="I256" i="1"/>
  <c r="I270" i="1" s="1"/>
  <c r="C12" i="10"/>
  <c r="J256" i="1"/>
  <c r="J270" i="1" s="1"/>
  <c r="C108" i="2"/>
  <c r="C109" i="2"/>
  <c r="D5" i="13"/>
  <c r="C5" i="13" s="1"/>
  <c r="G191" i="1"/>
  <c r="C102" i="2"/>
  <c r="E102" i="2"/>
  <c r="F102" i="2"/>
  <c r="D90" i="2"/>
  <c r="C90" i="2"/>
  <c r="F90" i="2"/>
  <c r="I168" i="1"/>
  <c r="F168" i="1"/>
  <c r="D80" i="2"/>
  <c r="E77" i="2"/>
  <c r="E80" i="2" s="1"/>
  <c r="C77" i="2"/>
  <c r="C69" i="2"/>
  <c r="E49" i="2"/>
  <c r="F31" i="2"/>
  <c r="D49" i="2"/>
  <c r="F49" i="2"/>
  <c r="C31" i="2"/>
  <c r="C50" i="2" s="1"/>
  <c r="D18" i="2"/>
  <c r="E61" i="2"/>
  <c r="E62" i="2" s="1"/>
  <c r="C61" i="2"/>
  <c r="H111" i="1"/>
  <c r="H192" i="1" s="1"/>
  <c r="F111" i="1"/>
  <c r="F55" i="2"/>
  <c r="F62" i="2" s="1"/>
  <c r="J111" i="1"/>
  <c r="J192" i="1" s="1"/>
  <c r="I111" i="1"/>
  <c r="D62" i="2"/>
  <c r="C55" i="2"/>
  <c r="G623" i="1"/>
  <c r="G624" i="1"/>
  <c r="G51" i="1"/>
  <c r="H617" i="1" s="1"/>
  <c r="J617" i="1" s="1"/>
  <c r="E18" i="2"/>
  <c r="F18" i="2"/>
  <c r="C18" i="2"/>
  <c r="C24" i="10"/>
  <c r="G31" i="13"/>
  <c r="G33" i="13" s="1"/>
  <c r="I337" i="1"/>
  <c r="I351" i="1" s="1"/>
  <c r="L406" i="1"/>
  <c r="C139" i="2" s="1"/>
  <c r="I191" i="1"/>
  <c r="E90" i="2"/>
  <c r="J653" i="1"/>
  <c r="J652" i="1"/>
  <c r="G21" i="2"/>
  <c r="G31" i="2" s="1"/>
  <c r="J32" i="1"/>
  <c r="L433" i="1"/>
  <c r="J433" i="1"/>
  <c r="F433" i="1"/>
  <c r="K433" i="1"/>
  <c r="G133" i="2" s="1"/>
  <c r="G143" i="2" s="1"/>
  <c r="G144" i="2" s="1"/>
  <c r="F31" i="13"/>
  <c r="G168" i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J618" i="1"/>
  <c r="D102" i="2"/>
  <c r="I139" i="1"/>
  <c r="A22" i="12"/>
  <c r="G49" i="2"/>
  <c r="J651" i="1"/>
  <c r="J641" i="1"/>
  <c r="G570" i="1"/>
  <c r="I433" i="1"/>
  <c r="G433" i="1"/>
  <c r="J616" i="1" l="1"/>
  <c r="F50" i="2"/>
  <c r="L570" i="1"/>
  <c r="K551" i="1"/>
  <c r="I662" i="1"/>
  <c r="L337" i="1"/>
  <c r="L351" i="1" s="1"/>
  <c r="E50" i="2"/>
  <c r="G635" i="1"/>
  <c r="I471" i="1"/>
  <c r="L407" i="1"/>
  <c r="G636" i="1" s="1"/>
  <c r="C140" i="2"/>
  <c r="C143" i="2" s="1"/>
  <c r="G645" i="1"/>
  <c r="J467" i="1"/>
  <c r="G637" i="1"/>
  <c r="J471" i="1"/>
  <c r="G634" i="1"/>
  <c r="I660" i="1"/>
  <c r="G473" i="1"/>
  <c r="H634" i="1"/>
  <c r="C27" i="10"/>
  <c r="C62" i="2"/>
  <c r="C80" i="2"/>
  <c r="G628" i="1"/>
  <c r="H467" i="1"/>
  <c r="H659" i="1"/>
  <c r="H663" i="1" s="1"/>
  <c r="H671" i="1" s="1"/>
  <c r="C6" i="10" s="1"/>
  <c r="H33" i="13"/>
  <c r="G659" i="1"/>
  <c r="G663" i="1" s="1"/>
  <c r="G666" i="1" s="1"/>
  <c r="C127" i="2"/>
  <c r="L544" i="1"/>
  <c r="G50" i="2"/>
  <c r="E144" i="2"/>
  <c r="D31" i="13"/>
  <c r="C31" i="13" s="1"/>
  <c r="I661" i="1"/>
  <c r="E33" i="13"/>
  <c r="D35" i="13" s="1"/>
  <c r="F33" i="13"/>
  <c r="L256" i="1"/>
  <c r="L270" i="1" s="1"/>
  <c r="C114" i="2"/>
  <c r="F659" i="1"/>
  <c r="F663" i="1" s="1"/>
  <c r="F666" i="1" s="1"/>
  <c r="H647" i="1"/>
  <c r="J647" i="1" s="1"/>
  <c r="C28" i="10"/>
  <c r="D24" i="10" s="1"/>
  <c r="F103" i="2"/>
  <c r="C39" i="10"/>
  <c r="E103" i="2"/>
  <c r="D103" i="2"/>
  <c r="I192" i="1"/>
  <c r="F192" i="1"/>
  <c r="C36" i="10"/>
  <c r="G630" i="1"/>
  <c r="G192" i="1"/>
  <c r="G625" i="1"/>
  <c r="J51" i="1"/>
  <c r="H620" i="1" s="1"/>
  <c r="J620" i="1" s="1"/>
  <c r="C38" i="10"/>
  <c r="D33" i="13" l="1"/>
  <c r="D36" i="13" s="1"/>
  <c r="H635" i="1"/>
  <c r="J635" i="1" s="1"/>
  <c r="I473" i="1"/>
  <c r="H645" i="1"/>
  <c r="J645" i="1"/>
  <c r="H630" i="1"/>
  <c r="J630" i="1" s="1"/>
  <c r="J469" i="1"/>
  <c r="H636" i="1"/>
  <c r="J636" i="1" s="1"/>
  <c r="H637" i="1"/>
  <c r="J637" i="1" s="1"/>
  <c r="J473" i="1"/>
  <c r="J475" i="1" s="1"/>
  <c r="H625" i="1" s="1"/>
  <c r="J625" i="1" s="1"/>
  <c r="J634" i="1"/>
  <c r="G627" i="1"/>
  <c r="G467" i="1"/>
  <c r="C103" i="2"/>
  <c r="G626" i="1"/>
  <c r="F467" i="1"/>
  <c r="F471" i="1"/>
  <c r="G632" i="1"/>
  <c r="H471" i="1"/>
  <c r="H469" i="1"/>
  <c r="H628" i="1"/>
  <c r="J628" i="1" s="1"/>
  <c r="G629" i="1"/>
  <c r="I467" i="1"/>
  <c r="G631" i="1"/>
  <c r="C144" i="2"/>
  <c r="G671" i="1"/>
  <c r="C5" i="10" s="1"/>
  <c r="H666" i="1"/>
  <c r="D11" i="10"/>
  <c r="D25" i="10"/>
  <c r="D20" i="10"/>
  <c r="D21" i="10"/>
  <c r="D13" i="10"/>
  <c r="D22" i="10"/>
  <c r="F671" i="1"/>
  <c r="C4" i="10" s="1"/>
  <c r="D15" i="10"/>
  <c r="D19" i="10"/>
  <c r="I659" i="1"/>
  <c r="I663" i="1" s="1"/>
  <c r="I671" i="1" s="1"/>
  <c r="C7" i="10" s="1"/>
  <c r="D10" i="10"/>
  <c r="D26" i="10"/>
  <c r="C30" i="10"/>
  <c r="D16" i="10"/>
  <c r="D23" i="10"/>
  <c r="D27" i="10"/>
  <c r="D18" i="10"/>
  <c r="D17" i="10"/>
  <c r="D12" i="10"/>
  <c r="C41" i="10"/>
  <c r="D38" i="10" s="1"/>
  <c r="G469" i="1" l="1"/>
  <c r="G475" i="1" s="1"/>
  <c r="H622" i="1" s="1"/>
  <c r="J622" i="1" s="1"/>
  <c r="H627" i="1"/>
  <c r="J627" i="1" s="1"/>
  <c r="F469" i="1"/>
  <c r="H626" i="1"/>
  <c r="J626" i="1" s="1"/>
  <c r="F473" i="1"/>
  <c r="H631" i="1"/>
  <c r="J631" i="1" s="1"/>
  <c r="H473" i="1"/>
  <c r="H475" i="1" s="1"/>
  <c r="H623" i="1" s="1"/>
  <c r="J623" i="1" s="1"/>
  <c r="H632" i="1"/>
  <c r="J632" i="1" s="1"/>
  <c r="I469" i="1"/>
  <c r="I475" i="1" s="1"/>
  <c r="H624" i="1" s="1"/>
  <c r="H629" i="1"/>
  <c r="J629" i="1"/>
  <c r="D28" i="10"/>
  <c r="I666" i="1"/>
  <c r="D37" i="10"/>
  <c r="D36" i="10"/>
  <c r="D35" i="10"/>
  <c r="D40" i="10"/>
  <c r="D39" i="10"/>
  <c r="F475" i="1" l="1"/>
  <c r="H621" i="1" s="1"/>
  <c r="J621" i="1" s="1"/>
  <c r="J624" i="1"/>
  <c r="D41" i="10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F62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H62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<sst xmlns="http://schemas.openxmlformats.org/spreadsheetml/2006/main" count="3952" uniqueCount="915">
  <si>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</si>
  <si>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</si>
  <si>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</si>
  <si>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</si>
  <si>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</si>
  <si>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</si>
  <si>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</si>
  <si>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</si>
  <si>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</si>
  <si>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</si>
  <si>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</si>
  <si>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</si>
  <si>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</si>
  <si>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</si>
  <si>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</si>
  <si>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</si>
  <si>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</si>
  <si>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</si>
  <si>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</si>
  <si>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</si>
  <si>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</si>
  <si>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</si>
  <si>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</si>
  <si>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</si>
  <si>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</si>
  <si>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</si>
  <si>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</si>
  <si>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</si>
  <si>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</si>
  <si>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</si>
  <si>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</si>
  <si>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</si>
  <si>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</si>
  <si>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</si>
  <si>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</si>
  <si>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</si>
  <si>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</si>
  <si>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</si>
  <si>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</si>
  <si>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</si>
  <si>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</si>
  <si>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</si>
  <si>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</si>
  <si>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</si>
  <si>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</si>
  <si>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</si>
  <si>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</si>
  <si>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</si>
  <si>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</si>
  <si>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</si>
  <si>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</si>
  <si>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</si>
  <si>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</si>
  <si>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</si>
  <si>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</si>
  <si>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</si>
  <si>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</si>
  <si>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</si>
  <si>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</si>
  <si>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</si>
  <si>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</si>
  <si>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</si>
  <si>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</si>
  <si>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</si>
  <si>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</si>
  <si>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</si>
  <si>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</si>
  <si>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</si>
  <si>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</si>
  <si>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</si>
  <si>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</si>
  <si>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</si>
  <si>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</si>
  <si>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</si>
  <si>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</si>
  <si>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</si>
  <si>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</si>
  <si>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</si>
  <si>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</si>
  <si>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</si>
  <si>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</si>
  <si>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</si>
  <si>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</si>
  <si>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</si>
  <si>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</si>
  <si>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</si>
  <si>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</si>
  <si>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</si>
  <si>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</si>
  <si>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</si>
  <si>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</si>
  <si>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</si>
  <si>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</si>
  <si>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</si>
  <si>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</si>
  <si>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</si>
  <si>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</si>
  <si>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</si>
  <si>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</si>
  <si>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</si>
  <si>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</si>
  <si>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</si>
  <si>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</si>
  <si>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</si>
  <si>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</si>
  <si>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</si>
  <si>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</si>
  <si>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</si>
  <si>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</si>
  <si>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</si>
  <si>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</si>
  <si>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</si>
  <si>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</si>
  <si>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</si>
  <si>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</si>
  <si>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</si>
  <si>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</si>
  <si>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</si>
  <si>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</si>
  <si>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</si>
  <si>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</si>
  <si>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</si>
  <si>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</si>
  <si>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</si>
  <si>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</si>
  <si>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</si>
  <si>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</si>
  <si>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</si>
  <si>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</si>
  <si>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</si>
  <si>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</si>
  <si>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</si>
  <si>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</si>
  <si>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</si>
  <si>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</si>
  <si>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</si>
  <si>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</si>
  <si>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</si>
  <si>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</si>
  <si>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</si>
  <si>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</si>
  <si>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</si>
  <si>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</si>
  <si>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</si>
  <si>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</si>
  <si>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</si>
  <si>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</si>
  <si>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</si>
  <si>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</si>
  <si>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</si>
  <si>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</si>
  <si>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</si>
  <si>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</si>
  <si>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</si>
  <si>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</si>
  <si>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</si>
  <si>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</si>
  <si>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</si>
  <si>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</si>
  <si>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</si>
  <si>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</si>
  <si>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</si>
  <si>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</si>
  <si>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</si>
  <si>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</si>
  <si>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</si>
  <si>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</si>
  <si>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</si>
  <si>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</si>
  <si>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</si>
  <si>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</si>
  <si>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</si>
  <si>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</si>
  <si>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</si>
  <si>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</si>
  <si>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</si>
  <si>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</si>
  <si>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</si>
  <si>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</si>
  <si>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</si>
  <si>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</si>
  <si>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</si>
  <si>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</si>
  <si>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</si>
  <si>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</si>
  <si>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</si>
  <si>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</si>
  <si>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</si>
  <si>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</si>
  <si>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</si>
  <si>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</si>
  <si>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</si>
  <si>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</si>
  <si>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</si>
  <si>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</si>
  <si>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</si>
  <si>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</si>
  <si>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</si>
  <si>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</si>
  <si>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</si>
  <si>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</si>
  <si>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</si>
  <si>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</si>
  <si>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</si>
  <si>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</si>
  <si>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</si>
  <si>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</si>
  <si>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</si>
  <si>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</si>
  <si>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</si>
  <si>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</si>
  <si>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</si>
  <si>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</si>
  <si>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</si>
  <si>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</si>
  <si>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</si>
  <si>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</si>
  <si>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</si>
  <si>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</si>
  <si>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</si>
  <si>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</si>
  <si>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</si>
  <si>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</si>
  <si>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</si>
  <si>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</si>
  <si>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</si>
  <si>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</si>
  <si>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</si>
  <si>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</si>
  <si>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</si>
  <si>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</si>
  <si>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</si>
  <si>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</si>
  <si>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</si>
  <si>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</si>
  <si>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</si>
  <si>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</si>
  <si>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</si>
  <si>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</si>
  <si>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</si>
  <si>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</si>
  <si>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</si>
  <si>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</si>
  <si>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</si>
  <si>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</si>
  <si>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</si>
  <si>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</si>
  <si>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</si>
  <si>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</si>
  <si>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</si>
  <si>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</si>
  <si>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</si>
  <si>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</si>
  <si>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</si>
  <si>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</si>
  <si>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</si>
  <si>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</si>
  <si>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</si>
  <si>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</si>
  <si>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</si>
  <si>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</si>
  <si>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</si>
  <si>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</si>
  <si>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</si>
  <si>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</si>
  <si>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</si>
  <si>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</si>
  <si>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</si>
  <si>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</si>
  <si>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</si>
  <si>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</si>
  <si>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</si>
  <si>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</si>
  <si>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</si>
  <si>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</si>
  <si>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</si>
  <si>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</si>
  <si>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</si>
  <si>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</si>
  <si>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</si>
  <si>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</si>
  <si>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</si>
  <si>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</si>
  <si>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</si>
  <si>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</si>
  <si>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</si>
  <si>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</si>
  <si>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</si>
  <si>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</si>
  <si>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</si>
  <si>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</si>
  <si>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</si>
  <si>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</si>
  <si>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</si>
  <si>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</si>
  <si>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</si>
  <si>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</si>
  <si>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</si>
  <si>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</si>
  <si>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</si>
  <si>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</si>
  <si>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</si>
  <si>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</si>
  <si>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</si>
  <si>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</si>
  <si>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</si>
  <si>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</si>
  <si>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</si>
  <si>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</si>
  <si>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</si>
  <si>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</si>
  <si>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</si>
  <si>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</si>
  <si>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</si>
  <si>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</si>
  <si>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</si>
  <si>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</si>
  <si>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</si>
  <si>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</si>
  <si>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</si>
  <si>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</si>
  <si>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</si>
  <si>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</si>
  <si>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</si>
  <si>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</si>
  <si>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</si>
  <si>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</si>
  <si>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</si>
  <si>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</si>
  <si>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</si>
  <si>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</si>
  <si>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</si>
  <si>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</si>
  <si>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</si>
  <si>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</si>
  <si>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</si>
  <si>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</si>
  <si>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</si>
  <si>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</si>
  <si>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</si>
  <si>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</si>
  <si>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</si>
  <si>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</si>
  <si>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</si>
  <si>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</si>
  <si>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</si>
  <si>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</si>
  <si>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</si>
  <si>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</si>
  <si>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</si>
  <si>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</si>
  <si>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</si>
  <si>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</si>
  <si>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</si>
  <si>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</si>
  <si>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</si>
  <si>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</si>
  <si>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</si>
  <si>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</si>
  <si>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</si>
  <si>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</si>
  <si>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</si>
  <si>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</si>
  <si>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</si>
  <si>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</si>
  <si>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</si>
  <si>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</si>
  <si>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</si>
  <si>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</si>
  <si>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</si>
  <si>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</si>
  <si>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</si>
  <si>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</si>
  <si>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</si>
  <si>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</si>
  <si>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</si>
  <si>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</si>
  <si>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</si>
  <si>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</si>
  <si>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</si>
  <si>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</si>
  <si>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</si>
  <si>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</si>
  <si>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</si>
  <si>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</si>
  <si>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</si>
  <si>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</si>
  <si>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</si>
  <si>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</si>
  <si>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</si>
  <si>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</si>
  <si>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</si>
  <si>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</si>
  <si>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</si>
  <si>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</si>
  <si>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</si>
  <si>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</si>
  <si>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</si>
  <si>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</si>
  <si>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</si>
  <si>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</si>
  <si>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</si>
  <si>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</si>
  <si>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</si>
  <si>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</si>
  <si>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</si>
  <si>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</si>
  <si>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</si>
  <si>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</si>
  <si>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</si>
  <si>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</si>
  <si>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</si>
  <si>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</si>
  <si>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</si>
  <si>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</si>
  <si>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</si>
  <si>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</si>
  <si>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</si>
  <si>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</si>
  <si>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</si>
  <si>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</si>
  <si>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</si>
  <si>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</si>
  <si>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</si>
  <si>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</si>
  <si>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</si>
  <si>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</si>
  <si>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</si>
  <si>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</si>
  <si>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</si>
  <si>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</si>
  <si>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</si>
  <si>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</si>
  <si>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</si>
  <si>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</si>
  <si>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</si>
  <si>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</si>
  <si>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</si>
  <si>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</si>
  <si>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</si>
  <si>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</si>
  <si>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</si>
  <si>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</si>
  <si>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</si>
  <si>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</si>
  <si>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</si>
  <si>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</si>
  <si>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</si>
  <si>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</si>
  <si>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</si>
  <si>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</si>
  <si>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</si>
  <si>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</si>
  <si>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</si>
  <si>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</si>
  <si>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</si>
  <si>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</si>
  <si>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</si>
  <si>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</si>
  <si>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</si>
  <si>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</si>
  <si>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</si>
  <si>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</si>
  <si>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</si>
  <si>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</si>
  <si>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</si>
  <si>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</si>
  <si>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</si>
  <si>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</si>
  <si>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</si>
  <si>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</si>
  <si>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</si>
  <si>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</si>
  <si>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</si>
  <si>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</si>
  <si>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</si>
  <si>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</si>
  <si>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</si>
  <si>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</si>
  <si>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</si>
  <si>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</si>
  <si>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</si>
  <si>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</si>
  <si>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</si>
  <si>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</si>
  <si>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</si>
  <si>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</si>
  <si>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</si>
  <si>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</si>
  <si>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</si>
  <si>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</si>
  <si>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</si>
  <si>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</si>
  <si>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</si>
  <si>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</si>
  <si>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</si>
  <si>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</si>
  <si>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</si>
  <si>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</si>
  <si>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</si>
  <si>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</si>
  <si>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</si>
  <si>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</si>
  <si>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</si>
  <si>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</si>
  <si>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</si>
  <si>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</si>
  <si>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</si>
  <si>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</si>
  <si>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</si>
  <si>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</si>
  <si>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</si>
  <si>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</si>
  <si>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</si>
  <si>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</si>
  <si>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</si>
  <si>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</si>
  <si>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</si>
  <si>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</si>
  <si>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</si>
  <si>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</si>
  <si>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</si>
  <si>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</si>
  <si>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</si>
  <si>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</si>
  <si>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</si>
  <si>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</si>
  <si>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</si>
  <si>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</si>
  <si>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</si>
  <si>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</si>
  <si>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</si>
  <si>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</si>
  <si>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</si>
  <si>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</si>
  <si>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</si>
  <si>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</si>
  <si>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</si>
  <si>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</si>
  <si>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</si>
  <si>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</si>
  <si>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</si>
  <si>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</si>
  <si>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</si>
  <si>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</si>
  <si>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</si>
  <si>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</si>
  <si>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</si>
  <si>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</si>
  <si>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</si>
  <si>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</si>
  <si>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</si>
  <si>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</si>
  <si>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</si>
  <si>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</si>
  <si>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</si>
  <si>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</si>
  <si>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</si>
  <si>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</si>
  <si>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</si>
  <si>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</si>
  <si>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</si>
  <si>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</si>
  <si>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</si>
  <si>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</si>
  <si>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</si>
  <si>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</si>
  <si>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</si>
  <si>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</si>
  <si>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</si>
  <si>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</si>
  <si>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</si>
  <si>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</si>
  <si>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</si>
  <si>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</si>
  <si>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</si>
  <si>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</si>
  <si>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</si>
  <si>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</si>
  <si>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</si>
  <si>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</si>
  <si>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</si>
  <si>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</si>
  <si>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</si>
  <si>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</si>
  <si>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</si>
  <si>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</si>
  <si>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</si>
  <si>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</si>
  <si>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</si>
  <si>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</si>
  <si>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</si>
  <si>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</si>
  <si>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</si>
  <si>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</si>
  <si>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</si>
  <si>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</si>
  <si>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</si>
  <si>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</si>
  <si>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</si>
  <si>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</si>
  <si>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</si>
  <si>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</si>
  <si>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</si>
  <si>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</si>
  <si>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</si>
  <si>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</si>
  <si>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</si>
  <si>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</si>
  <si>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</si>
  <si>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</si>
  <si>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</si>
  <si>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</si>
  <si>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</si>
  <si>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</si>
  <si>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</si>
  <si>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</si>
  <si>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</si>
  <si>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</si>
  <si>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</si>
  <si>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</si>
  <si>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</si>
  <si>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</si>
  <si>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</si>
  <si>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</si>
  <si>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</si>
  <si>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</si>
  <si>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</si>
  <si>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</si>
  <si>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</si>
  <si>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</si>
  <si>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</si>
  <si>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</si>
  <si>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</si>
  <si>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</si>
  <si>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</si>
  <si>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</si>
  <si>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</si>
  <si>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</si>
  <si>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</si>
  <si>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</si>
  <si>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</si>
  <si>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</si>
  <si>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</si>
  <si>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</si>
  <si>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</si>
  <si>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</si>
  <si>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</si>
  <si>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</si>
  <si>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</si>
  <si>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</si>
  <si>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</si>
  <si>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</si>
  <si>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</si>
  <si>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</si>
  <si>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</si>
  <si>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</si>
  <si>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</si>
  <si>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</si>
  <si>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</si>
  <si>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</si>
  <si>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</si>
  <si>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</si>
  <si>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</si>
  <si>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</si>
  <si>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</si>
  <si>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</si>
  <si>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</si>
  <si>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</si>
  <si>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</si>
  <si>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</si>
  <si>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</si>
  <si>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</si>
  <si>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</si>
  <si>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</si>
  <si>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</si>
  <si>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</si>
  <si>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</si>
  <si>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</si>
  <si>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</si>
  <si>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</si>
  <si>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</si>
  <si>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</si>
  <si>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</si>
  <si>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</si>
  <si>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</si>
  <si>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</si>
  <si>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</si>
  <si>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</si>
  <si>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</si>
  <si>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</si>
  <si>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</si>
  <si>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</si>
  <si>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</si>
  <si>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</si>
  <si>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</si>
  <si>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</si>
  <si>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</si>
  <si>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</si>
  <si>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</si>
  <si>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</si>
  <si>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</si>
  <si>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</si>
  <si>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</si>
  <si>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</si>
  <si>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</si>
  <si>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</si>
  <si>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</si>
  <si>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</si>
  <si>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</si>
  <si>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</si>
  <si>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</si>
  <si>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</si>
  <si>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</si>
  <si>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</si>
  <si>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</si>
  <si>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</si>
  <si>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</si>
  <si>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</si>
  <si>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</si>
  <si>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</si>
  <si>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</si>
  <si>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</si>
  <si>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</si>
  <si>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</si>
  <si>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</si>
  <si>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</si>
  <si>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</si>
  <si>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</si>
  <si>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</si>
  <si>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</si>
  <si>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</si>
  <si>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</si>
  <si>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</si>
  <si>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</si>
  <si>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</si>
  <si>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</si>
  <si>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</si>
  <si>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</si>
  <si>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</si>
  <si>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</si>
  <si>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</si>
  <si>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</si>
  <si>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</si>
  <si>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</si>
  <si>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</si>
  <si>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</si>
  <si>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</si>
  <si>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</si>
  <si>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</si>
  <si>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</si>
  <si>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</si>
  <si>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</si>
  <si>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</si>
  <si>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</si>
  <si>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</si>
  <si>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</si>
  <si>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</si>
  <si>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</si>
  <si>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</si>
  <si>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</si>
  <si>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</si>
  <si>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</si>
  <si>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</si>
  <si>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</si>
  <si>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</si>
  <si>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</si>
  <si>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</si>
  <si>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</si>
  <si>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</si>
  <si>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</si>
  <si>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</si>
  <si>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</si>
  <si>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</si>
  <si>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</si>
  <si>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</si>
  <si>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</si>
  <si>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</si>
  <si>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</si>
  <si>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</si>
  <si>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</si>
  <si>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</si>
  <si>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</si>
  <si>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</si>
  <si>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</si>
  <si>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</si>
  <si>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</si>
  <si>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</si>
  <si>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</si>
  <si>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</si>
  <si>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</si>
  <si>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</si>
  <si>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</si>
  <si>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</si>
  <si>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</si>
  <si>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</si>
  <si>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</si>
  <si>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</si>
  <si>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</si>
  <si>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</si>
  <si>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</si>
  <si>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</si>
  <si>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</si>
  <si>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</si>
  <si>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</si>
  <si>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</si>
  <si>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</si>
  <si>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</si>
  <si>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</si>
  <si>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</si>
  <si>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</si>
  <si>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</si>
  <si>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</si>
  <si>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</si>
  <si>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</si>
  <si>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</si>
  <si>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</si>
  <si>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</si>
  <si>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</si>
  <si>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</si>
  <si>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</si>
  <si>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</si>
  <si>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</si>
  <si>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</si>
  <si>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</si>
  <si>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</si>
  <si>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</si>
  <si>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</si>
  <si>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</si>
  <si>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</si>
  <si>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</si>
  <si>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</si>
  <si>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</si>
  <si>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</si>
  <si>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</si>
  <si>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</si>
  <si>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</si>
  <si>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</si>
  <si>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</si>
  <si>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</si>
  <si>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</si>
  <si>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</si>
  <si>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</si>
  <si>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</si>
  <si>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</si>
  <si>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</si>
  <si>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</si>
  <si>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</si>
  <si>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</si>
  <si>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</si>
  <si>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</si>
  <si>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</si>
  <si>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</si>
  <si>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</si>
  <si>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</si>
  <si>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</si>
  <si>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</si>
  <si>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</si>
  <si>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</si>
  <si>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</si>
  <si>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</si>
  <si>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</si>
  <si>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</si>
  <si>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</si>
  <si>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</si>
  <si>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</si>
  <si>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</si>
  <si>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</si>
  <si>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</si>
  <si>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</si>
  <si>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</si>
  <si>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</si>
  <si>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</si>
  <si>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</si>
  <si>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</si>
  <si>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</si>
  <si>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</si>
  <si>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</si>
  <si>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</si>
  <si>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</si>
  <si>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</si>
  <si>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</si>
  <si>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</si>
  <si>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</si>
  <si>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</si>
  <si>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</si>
  <si>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</si>
  <si>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</si>
  <si>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</si>
  <si>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</si>
  <si>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</si>
  <si>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</si>
  <si>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</si>
  <si>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</si>
  <si>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</si>
  <si>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</si>
  <si>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</si>
  <si>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</si>
  <si>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</si>
  <si>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</si>
  <si>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</si>
  <si>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</si>
  <si>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</si>
  <si>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</si>
  <si>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</si>
  <si>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</si>
  <si>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</si>
  <si>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</si>
  <si>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</si>
  <si>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</t>
  </si>
  <si>
    <t>07/08</t>
  </si>
  <si>
    <t>01/10</t>
  </si>
  <si>
    <t>08/18</t>
  </si>
  <si>
    <t>01/30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</si>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</sst>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4" t="s">
        <v>914</v>
      </c>
      <c r="B2" s="21">
        <v>491</v>
      </c>
      <c r="C2" s="21">
        <v>491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v>0</v>
      </c>
      <c r="H9" s="18">
        <v>0</v>
      </c>
      <c r="I9" s="18">
        <v>0</v>
      </c>
      <c r="J9" s="66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324952.13</v>
      </c>
      <c r="G12" s="18">
        <v>34950.160000000003</v>
      </c>
      <c r="H12" s="18">
        <v>0</v>
      </c>
      <c r="I12" s="18">
        <v>0</v>
      </c>
      <c r="J12" s="66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28353.38</v>
      </c>
      <c r="H13" s="18">
        <v>0</v>
      </c>
      <c r="I13" s="18">
        <v>0</v>
      </c>
      <c r="J13" s="66">
        <f>SUM(I441)</f>
        <v>129515.23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62654.61</v>
      </c>
      <c r="G14" s="18">
        <v>2579.48</v>
      </c>
      <c r="H14" s="18">
        <v>399853.21</v>
      </c>
      <c r="I14" s="18">
        <v>0</v>
      </c>
      <c r="J14" s="66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387606.74</v>
      </c>
      <c r="G19" s="41">
        <f>SUM(G9:G18)</f>
        <v>65883.02</v>
      </c>
      <c r="H19" s="41">
        <f>SUM(H9:H18)</f>
        <v>399853.21</v>
      </c>
      <c r="I19" s="41">
        <f>SUM(I9:I18)</f>
        <v>0</v>
      </c>
      <c r="J19" s="41">
        <f>SUM(J9:J18)</f>
        <v>129515.23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286462.13</v>
      </c>
      <c r="I22" s="18">
        <v>0</v>
      </c>
      <c r="J22" s="66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362089.76</v>
      </c>
      <c r="J23" s="66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254783.76</v>
      </c>
      <c r="G24" s="18">
        <v>51734.67</v>
      </c>
      <c r="H24" s="18">
        <v>35601.35</v>
      </c>
      <c r="I24" s="18">
        <f>40228+146897.38</f>
        <v>187125.38</v>
      </c>
      <c r="J24" s="66">
        <f>SUM(I449)</f>
        <v>520.02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52503.02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132822.98000000001</v>
      </c>
      <c r="G28" s="18">
        <v>0</v>
      </c>
      <c r="H28" s="18">
        <v>16067.7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387606.74</v>
      </c>
      <c r="G32" s="41">
        <f>SUM(G22:G31)</f>
        <v>51734.67</v>
      </c>
      <c r="H32" s="41">
        <f>SUM(H22:H31)</f>
        <v>338131.18</v>
      </c>
      <c r="I32" s="41">
        <f>SUM(I22:I31)</f>
        <v>601718.16</v>
      </c>
      <c r="J32" s="41">
        <f>SUM(J22:J31)</f>
        <v>520.02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-601718.16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f>3336.74+10811.61</f>
        <v>14148.35</v>
      </c>
      <c r="H47" s="18">
        <f>46478.91+15243.42-0.3</f>
        <v>61722.03</v>
      </c>
      <c r="I47" s="18">
        <v>0</v>
      </c>
      <c r="J47" s="13">
        <f>SUM(I458)</f>
        <v>128995.20999999999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0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14148.35</v>
      </c>
      <c r="H50" s="41">
        <f>SUM(H35:H49)</f>
        <v>61722.03</v>
      </c>
      <c r="I50" s="41">
        <f>SUM(I35:I49)</f>
        <v>-601718.16</v>
      </c>
      <c r="J50" s="41">
        <f>SUM(J35:J49)</f>
        <v>128995.20999999999</v>
      </c>
      <c r="K50" s="45" t="s">
        <v>289</v>
      </c>
      <c r="L50" s="45" t="s">
        <v>289</v>
      </c>
      <c r="N50" s="268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387606.74</v>
      </c>
      <c r="G51" s="41">
        <f>G50+G32</f>
        <v>65883.02</v>
      </c>
      <c r="H51" s="41">
        <f>H50+H32</f>
        <v>399853.20999999996</v>
      </c>
      <c r="I51" s="41">
        <f>I50+I32</f>
        <v>0</v>
      </c>
      <c r="J51" s="41">
        <f>J50+J32</f>
        <v>129515.23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12238110-53225</f>
        <v>12184885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12184885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11589.92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1592428.93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24895.9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68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1628914.7499999998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68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132.08000000000001</v>
      </c>
      <c r="J95" s="18">
        <v>0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123591.3+2992.67+50.96+25297.43+98514.85+12326.65</f>
        <v>262773.86000000004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5075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11025.47</v>
      </c>
      <c r="G109" s="18">
        <v>31377.24</v>
      </c>
      <c r="H109" s="18">
        <v>0</v>
      </c>
      <c r="I109" s="18">
        <v>0</v>
      </c>
      <c r="J109" s="18">
        <v>152620.69</v>
      </c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16100.47</v>
      </c>
      <c r="G110" s="41">
        <f>SUM(G95:G109)</f>
        <v>294151.10000000003</v>
      </c>
      <c r="H110" s="41">
        <f>SUM(H95:H109)</f>
        <v>0</v>
      </c>
      <c r="I110" s="41">
        <f>SUM(I95:I109)</f>
        <v>132.08000000000001</v>
      </c>
      <c r="J110" s="41">
        <f>SUM(J95:J109)</f>
        <v>152620.69</v>
      </c>
      <c r="K110" s="45" t="s">
        <v>289</v>
      </c>
      <c r="L110" s="45" t="s">
        <v>289</v>
      </c>
      <c r="N110" s="268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13829900.220000001</v>
      </c>
      <c r="G111" s="41">
        <f>G59+G110</f>
        <v>294151.10000000003</v>
      </c>
      <c r="H111" s="41">
        <f>H59+H78+H93+H110</f>
        <v>0</v>
      </c>
      <c r="I111" s="41">
        <f>I59+I110</f>
        <v>132.08000000000001</v>
      </c>
      <c r="J111" s="41">
        <f>J59+J110</f>
        <v>152620.69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7288749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1986131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9274880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834865.49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493973.6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52156.86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1225.06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6758.33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1382221.01</v>
      </c>
      <c r="G135" s="41">
        <f>SUM(G122:G134)</f>
        <v>6758.33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10657101.01</v>
      </c>
      <c r="G139" s="41">
        <f>G120+SUM(G135:G136)</f>
        <v>6758.33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2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3827.81+39817.3+15154.26+37535.49</f>
        <v>96334.86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61633.52+7648.97-98.5+6192.16+4579+1472.63+550963.71+8717.83+7381.41+9078.76+2501.76+4087.35+4087.35+135132.19+196194.43</f>
        <v>999572.56999999983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2827.84+78539.93+21015.13</f>
        <v>102382.9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380437.17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245399.5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37300.54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245399.5</v>
      </c>
      <c r="G161" s="41">
        <f>SUM(G149:G160)</f>
        <v>417737.70999999996</v>
      </c>
      <c r="H161" s="41">
        <f>SUM(H149:H160)</f>
        <v>1198290.3299999998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245399.5</v>
      </c>
      <c r="G168" s="41">
        <f>G146+G161+SUM(G162:G167)</f>
        <v>417737.70999999996</v>
      </c>
      <c r="H168" s="41">
        <f>H146+H161+SUM(H162:H167)</f>
        <v>1198290.3299999998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2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10000</v>
      </c>
      <c r="H178" s="18">
        <v>0</v>
      </c>
      <c r="I178" s="18">
        <v>77762</v>
      </c>
      <c r="J178" s="18">
        <v>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10000</v>
      </c>
      <c r="H182" s="41">
        <f>SUM(H178:H181)</f>
        <v>0</v>
      </c>
      <c r="I182" s="41">
        <f>SUM(I178:I181)</f>
        <v>77762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68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8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4" t="s">
        <v>431</v>
      </c>
      <c r="E191" s="51">
        <v>5000</v>
      </c>
      <c r="F191" s="41">
        <f>F176+F182+SUM(F187:F190)</f>
        <v>0</v>
      </c>
      <c r="G191" s="41">
        <f>G182+SUM(G187:G190)</f>
        <v>10000</v>
      </c>
      <c r="H191" s="41">
        <f>+H182+SUM(H187:H190)</f>
        <v>0</v>
      </c>
      <c r="I191" s="41">
        <f>I176+I182+SUM(I187:I190)</f>
        <v>77762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5" t="s">
        <v>431</v>
      </c>
      <c r="E192" s="44"/>
      <c r="F192" s="47">
        <f>F111+F139+F168+F191</f>
        <v>24732400.73</v>
      </c>
      <c r="G192" s="47">
        <f>G111+G139+G168+G191</f>
        <v>728647.14</v>
      </c>
      <c r="H192" s="47">
        <f>H111+H139+H168+H191</f>
        <v>1198290.3299999998</v>
      </c>
      <c r="I192" s="47">
        <f>I111+I139+I168+I191</f>
        <v>77894.080000000002</v>
      </c>
      <c r="J192" s="47">
        <f>J111+J139+J191</f>
        <v>152620.69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5" t="s">
        <v>693</v>
      </c>
      <c r="G193" s="175" t="s">
        <v>694</v>
      </c>
      <c r="H193" s="175" t="s">
        <v>695</v>
      </c>
      <c r="I193" s="175" t="s">
        <v>696</v>
      </c>
      <c r="J193" s="175" t="s">
        <v>697</v>
      </c>
      <c r="K193" s="175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2229666.0965</v>
      </c>
      <c r="G196" s="18">
        <v>1215620.6468999998</v>
      </c>
      <c r="H196" s="18">
        <v>58070.983800000002</v>
      </c>
      <c r="I196" s="18">
        <v>143500.01999999999</v>
      </c>
      <c r="J196" s="18">
        <v>22846.98</v>
      </c>
      <c r="K196" s="18">
        <v>0</v>
      </c>
      <c r="L196" s="19">
        <f>SUM(F196:K196)</f>
        <v>3669704.7272000001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1085943.03</v>
      </c>
      <c r="G197" s="18">
        <v>761710.35</v>
      </c>
      <c r="H197" s="18">
        <v>277732.6373</v>
      </c>
      <c r="I197" s="18">
        <v>21224.57</v>
      </c>
      <c r="J197" s="18">
        <v>281.25</v>
      </c>
      <c r="K197" s="18">
        <v>0</v>
      </c>
      <c r="L197" s="19">
        <f>SUM(F197:K197)</f>
        <v>2146891.8372999998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383502.7</v>
      </c>
      <c r="G201" s="18">
        <v>182489.75210000001</v>
      </c>
      <c r="H201" s="18">
        <v>180659.89939999999</v>
      </c>
      <c r="I201" s="18">
        <v>8370.58</v>
      </c>
      <c r="J201" s="18">
        <v>75</v>
      </c>
      <c r="K201" s="18">
        <v>4495.9655000000002</v>
      </c>
      <c r="L201" s="19">
        <f t="shared" ref="L201:L207" si="0">SUM(F201:K201)</f>
        <v>759593.897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40236</v>
      </c>
      <c r="G202" s="18">
        <v>7624.54</v>
      </c>
      <c r="H202" s="18">
        <v>5768.7560000000003</v>
      </c>
      <c r="I202" s="18">
        <v>42956.71</v>
      </c>
      <c r="J202" s="18">
        <v>2103.77</v>
      </c>
      <c r="K202" s="18">
        <v>0</v>
      </c>
      <c r="L202" s="19">
        <f t="shared" si="0"/>
        <v>98689.775999999998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896.51</v>
      </c>
      <c r="G203" s="18">
        <v>206.44890000000001</v>
      </c>
      <c r="H203" s="18">
        <v>353318.95699999999</v>
      </c>
      <c r="I203" s="18">
        <v>2603.2903999999999</v>
      </c>
      <c r="J203" s="18">
        <v>0</v>
      </c>
      <c r="K203" s="18">
        <v>1892.4427000000001</v>
      </c>
      <c r="L203" s="19">
        <f t="shared" si="0"/>
        <v>358917.64900000003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347810.94</v>
      </c>
      <c r="G204" s="18">
        <v>158067.38</v>
      </c>
      <c r="H204" s="18">
        <v>12429.596899999999</v>
      </c>
      <c r="I204" s="18">
        <v>3870.54</v>
      </c>
      <c r="J204" s="18">
        <v>0</v>
      </c>
      <c r="K204" s="18">
        <v>1875</v>
      </c>
      <c r="L204" s="19">
        <f t="shared" si="0"/>
        <v>524053.45689999999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296483.1471</v>
      </c>
      <c r="G206" s="18">
        <v>121241.44780000001</v>
      </c>
      <c r="H206" s="18">
        <v>157791.6636</v>
      </c>
      <c r="I206" s="18">
        <v>223191.70240000001</v>
      </c>
      <c r="J206" s="18">
        <v>500</v>
      </c>
      <c r="K206" s="18">
        <v>0</v>
      </c>
      <c r="L206" s="19">
        <f t="shared" si="0"/>
        <v>799207.96090000006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275">
        <v>0</v>
      </c>
      <c r="G207" s="275">
        <v>0</v>
      </c>
      <c r="H207" s="275">
        <v>406050.73731970473</v>
      </c>
      <c r="I207" s="275">
        <v>1529.4026462237366</v>
      </c>
      <c r="J207" s="275">
        <v>0</v>
      </c>
      <c r="K207" s="275">
        <v>0</v>
      </c>
      <c r="L207" s="19">
        <f t="shared" si="0"/>
        <v>407580.13996592845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144369.97070000001</v>
      </c>
      <c r="I208" s="18">
        <v>0</v>
      </c>
      <c r="J208" s="18">
        <v>0</v>
      </c>
      <c r="K208" s="18">
        <v>0</v>
      </c>
      <c r="L208" s="19">
        <f>SUM(F208:K208)</f>
        <v>144369.97070000001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4384538.4236000003</v>
      </c>
      <c r="G210" s="41">
        <f t="shared" si="1"/>
        <v>2446960.5657000002</v>
      </c>
      <c r="H210" s="41">
        <f t="shared" si="1"/>
        <v>1596193.2020197045</v>
      </c>
      <c r="I210" s="41">
        <f t="shared" si="1"/>
        <v>447246.81544622371</v>
      </c>
      <c r="J210" s="41">
        <f t="shared" si="1"/>
        <v>25807</v>
      </c>
      <c r="K210" s="41">
        <f t="shared" si="1"/>
        <v>8263.4081999999999</v>
      </c>
      <c r="L210" s="41">
        <f t="shared" si="1"/>
        <v>8909009.4149659276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5" t="s">
        <v>693</v>
      </c>
      <c r="G211" s="175" t="s">
        <v>694</v>
      </c>
      <c r="H211" s="175" t="s">
        <v>695</v>
      </c>
      <c r="I211" s="175" t="s">
        <v>696</v>
      </c>
      <c r="J211" s="175" t="s">
        <v>697</v>
      </c>
      <c r="K211" s="175" t="s">
        <v>698</v>
      </c>
      <c r="L211" s="66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1412817.3594999998</v>
      </c>
      <c r="G214" s="18">
        <v>759584.71469999989</v>
      </c>
      <c r="H214" s="18">
        <v>49290.1273</v>
      </c>
      <c r="I214" s="18">
        <v>69494.720000000001</v>
      </c>
      <c r="J214" s="18">
        <v>18876.39</v>
      </c>
      <c r="K214" s="18">
        <v>0</v>
      </c>
      <c r="L214" s="19">
        <f>SUM(F214:K214)</f>
        <v>2310063.3114999998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644282.04</v>
      </c>
      <c r="G215" s="18">
        <v>417325.49</v>
      </c>
      <c r="H215" s="18">
        <v>193492.4999</v>
      </c>
      <c r="I215" s="18">
        <v>5163.03</v>
      </c>
      <c r="J215" s="18">
        <v>1977.74</v>
      </c>
      <c r="K215" s="18">
        <v>0</v>
      </c>
      <c r="L215" s="19">
        <f>SUM(F215:K215)</f>
        <v>1262240.7999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20528</v>
      </c>
      <c r="G217" s="18">
        <v>4234.66</v>
      </c>
      <c r="H217" s="18">
        <v>3959</v>
      </c>
      <c r="I217" s="18">
        <v>3016.31</v>
      </c>
      <c r="J217" s="18">
        <v>1813.36</v>
      </c>
      <c r="K217" s="18">
        <v>0</v>
      </c>
      <c r="L217" s="19">
        <f>SUM(F217:K217)</f>
        <v>33551.33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236864.2</v>
      </c>
      <c r="G219" s="18">
        <v>114472.6623</v>
      </c>
      <c r="H219" s="18">
        <v>117861.46429999999</v>
      </c>
      <c r="I219" s="18">
        <v>3334.29</v>
      </c>
      <c r="J219" s="18">
        <v>1154</v>
      </c>
      <c r="K219" s="18">
        <v>3733.3764999999999</v>
      </c>
      <c r="L219" s="19">
        <f t="shared" ref="L219:L225" si="2">SUM(F219:K219)</f>
        <v>477419.99310000002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15342.5</v>
      </c>
      <c r="G220" s="18">
        <v>1366.5</v>
      </c>
      <c r="H220" s="18">
        <v>9548.348</v>
      </c>
      <c r="I220" s="18">
        <v>7444.7699999999995</v>
      </c>
      <c r="J220" s="18">
        <v>0</v>
      </c>
      <c r="K220" s="18">
        <v>0</v>
      </c>
      <c r="L220" s="19">
        <f t="shared" si="2"/>
        <v>33702.117999999995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751.13</v>
      </c>
      <c r="G221" s="18">
        <v>172.97069999999999</v>
      </c>
      <c r="H221" s="18">
        <v>296023.99100000004</v>
      </c>
      <c r="I221" s="18">
        <v>2181.1352000000002</v>
      </c>
      <c r="J221" s="18">
        <v>0</v>
      </c>
      <c r="K221" s="18">
        <v>1585.5600999999999</v>
      </c>
      <c r="L221" s="19">
        <f t="shared" si="2"/>
        <v>300714.78700000007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208040.8</v>
      </c>
      <c r="G222" s="18">
        <v>81630.2</v>
      </c>
      <c r="H222" s="18">
        <v>7072.4647000000004</v>
      </c>
      <c r="I222" s="18">
        <v>2092.81</v>
      </c>
      <c r="J222" s="18">
        <v>1500</v>
      </c>
      <c r="K222" s="18">
        <v>1887.13</v>
      </c>
      <c r="L222" s="19">
        <f t="shared" si="2"/>
        <v>302223.40470000001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168185.80730000001</v>
      </c>
      <c r="G224" s="18">
        <v>70965.061400000006</v>
      </c>
      <c r="H224" s="18">
        <v>176678.51680000001</v>
      </c>
      <c r="I224" s="18">
        <v>118742.21120000001</v>
      </c>
      <c r="J224" s="18">
        <v>500</v>
      </c>
      <c r="K224" s="18">
        <v>0</v>
      </c>
      <c r="L224" s="19">
        <f t="shared" si="2"/>
        <v>535071.59669999999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276">
        <v>0</v>
      </c>
      <c r="G225" s="276">
        <v>0</v>
      </c>
      <c r="H225" s="276">
        <v>217653.61526973313</v>
      </c>
      <c r="I225" s="276">
        <v>801.84123793299261</v>
      </c>
      <c r="J225" s="276">
        <v>0</v>
      </c>
      <c r="K225" s="276">
        <v>0</v>
      </c>
      <c r="L225" s="19">
        <f t="shared" si="2"/>
        <v>218455.45650766612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120958.6241</v>
      </c>
      <c r="I226" s="18">
        <v>0</v>
      </c>
      <c r="J226" s="18">
        <v>0</v>
      </c>
      <c r="K226" s="18">
        <v>0</v>
      </c>
      <c r="L226" s="19">
        <f>SUM(F226:K226)</f>
        <v>120958.6241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2706811.8367999997</v>
      </c>
      <c r="G228" s="41">
        <f>SUM(G214:G227)</f>
        <v>1449752.2590999997</v>
      </c>
      <c r="H228" s="41">
        <f>SUM(H214:H227)</f>
        <v>1192538.651369733</v>
      </c>
      <c r="I228" s="41">
        <f>SUM(I214:I227)</f>
        <v>212271.117637933</v>
      </c>
      <c r="J228" s="41">
        <f>SUM(J214:J227)</f>
        <v>25821.49</v>
      </c>
      <c r="K228" s="41">
        <f t="shared" si="3"/>
        <v>7206.0666000000001</v>
      </c>
      <c r="L228" s="41">
        <f t="shared" si="3"/>
        <v>5594401.421507665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4"/>
      <c r="D229" s="74"/>
      <c r="E229" s="74"/>
      <c r="F229" s="175" t="s">
        <v>693</v>
      </c>
      <c r="G229" s="175" t="s">
        <v>694</v>
      </c>
      <c r="H229" s="175" t="s">
        <v>695</v>
      </c>
      <c r="I229" s="175" t="s">
        <v>696</v>
      </c>
      <c r="J229" s="175" t="s">
        <v>697</v>
      </c>
      <c r="K229" s="175" t="s">
        <v>698</v>
      </c>
      <c r="L229" s="66"/>
      <c r="M229" s="8"/>
      <c r="N229" s="270"/>
    </row>
    <row r="230" spans="1:14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1459220.6840000001</v>
      </c>
      <c r="G232" s="18">
        <v>782762.02839999995</v>
      </c>
      <c r="H232" s="18">
        <v>71079.445599999992</v>
      </c>
      <c r="I232" s="18">
        <v>58248.09</v>
      </c>
      <c r="J232" s="18">
        <v>3849.45</v>
      </c>
      <c r="K232" s="18">
        <v>0</v>
      </c>
      <c r="L232" s="19">
        <f>SUM(F232:K232)</f>
        <v>2375159.6980000003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592631.27</v>
      </c>
      <c r="G233" s="18">
        <v>324134.40999999997</v>
      </c>
      <c r="H233" s="18">
        <v>990290.99280000001</v>
      </c>
      <c r="I233" s="18">
        <v>7535.7699999999995</v>
      </c>
      <c r="J233" s="18">
        <v>528.21</v>
      </c>
      <c r="K233" s="18">
        <v>0</v>
      </c>
      <c r="L233" s="19">
        <f>SUM(F233:K233)</f>
        <v>1915120.6527999998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448573.68</v>
      </c>
      <c r="G234" s="18">
        <v>248739.28</v>
      </c>
      <c r="H234" s="18">
        <v>28192.36</v>
      </c>
      <c r="I234" s="18">
        <v>55962.12</v>
      </c>
      <c r="J234" s="18">
        <v>17209.12</v>
      </c>
      <c r="K234" s="18">
        <v>0</v>
      </c>
      <c r="L234" s="19">
        <f>SUM(F234:K234)</f>
        <v>798676.55999999994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86337</v>
      </c>
      <c r="G235" s="18">
        <v>11278.53</v>
      </c>
      <c r="H235" s="18">
        <v>1236.96</v>
      </c>
      <c r="I235" s="18">
        <v>1650.04</v>
      </c>
      <c r="J235" s="18">
        <v>0</v>
      </c>
      <c r="K235" s="18">
        <v>3463.41</v>
      </c>
      <c r="L235" s="19">
        <f>SUM(F235:K235)</f>
        <v>103965.94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232815.74</v>
      </c>
      <c r="G237" s="18">
        <v>113237.83560000001</v>
      </c>
      <c r="H237" s="18">
        <v>124581.4296</v>
      </c>
      <c r="I237" s="18">
        <v>5192.92</v>
      </c>
      <c r="J237" s="18">
        <v>0</v>
      </c>
      <c r="K237" s="18">
        <v>4052.808</v>
      </c>
      <c r="L237" s="19">
        <f t="shared" ref="L237:L243" si="4">SUM(F237:K237)</f>
        <v>479880.73320000002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81101.489999999991</v>
      </c>
      <c r="G238" s="18">
        <v>28046.51</v>
      </c>
      <c r="H238" s="18">
        <v>13397.085999999999</v>
      </c>
      <c r="I238" s="18">
        <v>16603.690000000002</v>
      </c>
      <c r="J238" s="18">
        <v>4986.8</v>
      </c>
      <c r="K238" s="18">
        <v>0</v>
      </c>
      <c r="L238" s="19">
        <f t="shared" si="4"/>
        <v>144135.57599999997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775.36</v>
      </c>
      <c r="G239" s="18">
        <v>178.55040000000002</v>
      </c>
      <c r="H239" s="18">
        <v>305573.152</v>
      </c>
      <c r="I239" s="18">
        <v>2251.4944</v>
      </c>
      <c r="J239" s="18">
        <v>0</v>
      </c>
      <c r="K239" s="18">
        <v>1636.7072000000001</v>
      </c>
      <c r="L239" s="19">
        <f t="shared" si="4"/>
        <v>310415.26400000002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364059.05</v>
      </c>
      <c r="G240" s="18">
        <v>144812.91</v>
      </c>
      <c r="H240" s="18">
        <v>12169.868399999999</v>
      </c>
      <c r="I240" s="18">
        <v>16259.62</v>
      </c>
      <c r="J240" s="18">
        <v>2736.32</v>
      </c>
      <c r="K240" s="18">
        <v>4098</v>
      </c>
      <c r="L240" s="19">
        <f t="shared" si="4"/>
        <v>544135.76839999994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219824.0356</v>
      </c>
      <c r="G242" s="18">
        <v>113316.09080000001</v>
      </c>
      <c r="H242" s="18">
        <v>345914.4596</v>
      </c>
      <c r="I242" s="18">
        <v>355839.53640000004</v>
      </c>
      <c r="J242" s="18">
        <v>500</v>
      </c>
      <c r="K242" s="18">
        <v>0</v>
      </c>
      <c r="L242" s="19">
        <f t="shared" si="4"/>
        <v>1035394.1224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277">
        <v>0</v>
      </c>
      <c r="G243" s="277">
        <v>0</v>
      </c>
      <c r="H243" s="277">
        <v>339947.28741056222</v>
      </c>
      <c r="I243" s="277">
        <v>1022.7761158432709</v>
      </c>
      <c r="J243" s="277">
        <v>0</v>
      </c>
      <c r="K243" s="277">
        <v>0</v>
      </c>
      <c r="L243" s="19">
        <f t="shared" si="4"/>
        <v>340970.06352640549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124860.51519999999</v>
      </c>
      <c r="I244" s="18">
        <v>0</v>
      </c>
      <c r="J244" s="18">
        <v>0</v>
      </c>
      <c r="K244" s="18">
        <v>0</v>
      </c>
      <c r="L244" s="19">
        <f>SUM(F244:K244)</f>
        <v>124860.51519999999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3485338.3095999998</v>
      </c>
      <c r="G246" s="41">
        <f t="shared" si="5"/>
        <v>1766506.1452000001</v>
      </c>
      <c r="H246" s="41">
        <f t="shared" si="5"/>
        <v>2357243.5566105619</v>
      </c>
      <c r="I246" s="41">
        <f t="shared" si="5"/>
        <v>520566.05691584334</v>
      </c>
      <c r="J246" s="41">
        <f t="shared" si="5"/>
        <v>29809.899999999998</v>
      </c>
      <c r="K246" s="41">
        <f t="shared" si="5"/>
        <v>13250.9252</v>
      </c>
      <c r="L246" s="41">
        <f t="shared" si="5"/>
        <v>8172714.893526407</v>
      </c>
      <c r="M246" s="8"/>
      <c r="N246" s="270"/>
    </row>
    <row r="247" spans="1:14" s="3" customFormat="1" ht="12" customHeight="1" x14ac:dyDescent="0.15">
      <c r="A247" s="69"/>
      <c r="B247" s="36"/>
      <c r="C247" s="37"/>
      <c r="D247" s="37"/>
      <c r="E247" s="37"/>
      <c r="F247" s="175" t="s">
        <v>693</v>
      </c>
      <c r="G247" s="175" t="s">
        <v>694</v>
      </c>
      <c r="H247" s="175" t="s">
        <v>695</v>
      </c>
      <c r="I247" s="175" t="s">
        <v>696</v>
      </c>
      <c r="J247" s="175" t="s">
        <v>697</v>
      </c>
      <c r="K247" s="175" t="s">
        <v>698</v>
      </c>
      <c r="L247" s="66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10576688.57</v>
      </c>
      <c r="G256" s="41">
        <f t="shared" si="8"/>
        <v>5663218.9699999997</v>
      </c>
      <c r="H256" s="41">
        <f t="shared" si="8"/>
        <v>5145975.4099999992</v>
      </c>
      <c r="I256" s="41">
        <f t="shared" si="8"/>
        <v>1180083.99</v>
      </c>
      <c r="J256" s="41">
        <f t="shared" si="8"/>
        <v>81438.39</v>
      </c>
      <c r="K256" s="41">
        <f t="shared" si="8"/>
        <v>28720.400000000001</v>
      </c>
      <c r="L256" s="41">
        <f t="shared" si="8"/>
        <v>22676125.729999997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1683130</v>
      </c>
      <c r="L259" s="19">
        <f>SUM(F259:K259)</f>
        <v>1683130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285383</v>
      </c>
      <c r="L260" s="19">
        <f>SUM(F260:K260)</f>
        <v>285383</v>
      </c>
      <c r="N260" s="268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8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10000</v>
      </c>
      <c r="L262" s="19">
        <f>SUM(F262:K262)</f>
        <v>10000</v>
      </c>
      <c r="N262" s="268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68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77762</v>
      </c>
      <c r="L264" s="19">
        <f t="shared" si="9"/>
        <v>77762</v>
      </c>
      <c r="N264" s="268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8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68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2056275</v>
      </c>
      <c r="L269" s="41">
        <f t="shared" si="9"/>
        <v>2056275</v>
      </c>
      <c r="N269" s="268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10576688.57</v>
      </c>
      <c r="G270" s="42">
        <f t="shared" si="11"/>
        <v>5663218.9699999997</v>
      </c>
      <c r="H270" s="42">
        <f t="shared" si="11"/>
        <v>5145975.4099999992</v>
      </c>
      <c r="I270" s="42">
        <f t="shared" si="11"/>
        <v>1180083.99</v>
      </c>
      <c r="J270" s="42">
        <f t="shared" si="11"/>
        <v>81438.39</v>
      </c>
      <c r="K270" s="42">
        <f t="shared" si="11"/>
        <v>2084995.4</v>
      </c>
      <c r="L270" s="42">
        <f t="shared" si="11"/>
        <v>24732400.729999997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5" t="s">
        <v>693</v>
      </c>
      <c r="G272" s="175" t="s">
        <v>694</v>
      </c>
      <c r="H272" s="175" t="s">
        <v>695</v>
      </c>
      <c r="I272" s="175" t="s">
        <v>696</v>
      </c>
      <c r="J272" s="175" t="s">
        <v>697</v>
      </c>
      <c r="K272" s="175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87418.04-1200+12645</f>
        <v>98863.039999999994</v>
      </c>
      <c r="G275" s="18">
        <f>609.77+1485.01</f>
        <v>2094.7799999999997</v>
      </c>
      <c r="H275" s="18">
        <f>21553.93+528.06</f>
        <v>22081.99</v>
      </c>
      <c r="I275" s="18">
        <f>3202.53</f>
        <v>3202.53</v>
      </c>
      <c r="J275" s="18">
        <v>397.7</v>
      </c>
      <c r="K275" s="18">
        <f>22665.05+1535.49+366.03+383.25+137.8+5773.53</f>
        <v>30861.149999999998</v>
      </c>
      <c r="L275" s="19">
        <f>SUM(F275:K275)</f>
        <v>157501.19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215787.49</v>
      </c>
      <c r="G276" s="18">
        <f>88904.82</f>
        <v>88904.82</v>
      </c>
      <c r="H276" s="18">
        <f>2065.16+108004.47</f>
        <v>110069.63</v>
      </c>
      <c r="I276" s="18">
        <f>82.75+34959.35</f>
        <v>35042.1</v>
      </c>
      <c r="J276" s="18">
        <f>2119.85+591.16</f>
        <v>2711.0099999999998</v>
      </c>
      <c r="K276" s="18">
        <f>49.16</f>
        <v>49.16</v>
      </c>
      <c r="L276" s="19">
        <f>SUM(F276:K276)</f>
        <v>452564.20999999996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13000</v>
      </c>
      <c r="G280" s="18">
        <v>1464.98</v>
      </c>
      <c r="H280" s="18">
        <v>2400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16864.98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2000</v>
      </c>
      <c r="G281" s="18">
        <v>0</v>
      </c>
      <c r="H281" s="18">
        <f>1331.25+843.75+700+3949.55+38611.84+6460.48+84198.46+250+1500</f>
        <v>137845.33000000002</v>
      </c>
      <c r="I281" s="18">
        <v>2055.06</v>
      </c>
      <c r="J281" s="18">
        <v>0</v>
      </c>
      <c r="K281" s="18">
        <v>0</v>
      </c>
      <c r="L281" s="19">
        <f t="shared" si="12"/>
        <v>141900.39000000001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11250</v>
      </c>
      <c r="I282" s="18">
        <v>0</v>
      </c>
      <c r="J282" s="18">
        <v>0</v>
      </c>
      <c r="K282" s="18">
        <v>0</v>
      </c>
      <c r="L282" s="19">
        <f t="shared" si="12"/>
        <v>11250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40668.31</v>
      </c>
      <c r="G284" s="18">
        <v>3111.07</v>
      </c>
      <c r="H284" s="18">
        <v>500</v>
      </c>
      <c r="I284" s="18">
        <v>137.94</v>
      </c>
      <c r="J284" s="18">
        <v>200</v>
      </c>
      <c r="K284" s="18">
        <v>0</v>
      </c>
      <c r="L284" s="19">
        <f t="shared" si="12"/>
        <v>44617.32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f>5000+277.2</f>
        <v>5277.2</v>
      </c>
      <c r="I286" s="18">
        <v>0</v>
      </c>
      <c r="J286" s="18">
        <v>0</v>
      </c>
      <c r="K286" s="18">
        <v>0</v>
      </c>
      <c r="L286" s="19">
        <f t="shared" si="12"/>
        <v>5277.2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370318.83999999997</v>
      </c>
      <c r="G289" s="42">
        <f t="shared" si="13"/>
        <v>95575.650000000009</v>
      </c>
      <c r="H289" s="42">
        <f t="shared" si="13"/>
        <v>289424.15000000002</v>
      </c>
      <c r="I289" s="42">
        <f t="shared" si="13"/>
        <v>40437.629999999997</v>
      </c>
      <c r="J289" s="42">
        <f t="shared" si="13"/>
        <v>3308.7099999999996</v>
      </c>
      <c r="K289" s="42">
        <f t="shared" si="13"/>
        <v>30910.309999999998</v>
      </c>
      <c r="L289" s="41">
        <f t="shared" si="13"/>
        <v>829975.2899999998</v>
      </c>
      <c r="M289" s="8"/>
      <c r="N289" s="270"/>
    </row>
    <row r="290" spans="1:14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5" t="s">
        <v>693</v>
      </c>
      <c r="G291" s="175" t="s">
        <v>694</v>
      </c>
      <c r="H291" s="175" t="s">
        <v>695</v>
      </c>
      <c r="I291" s="175" t="s">
        <v>696</v>
      </c>
      <c r="J291" s="175" t="s">
        <v>697</v>
      </c>
      <c r="K291" s="175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162424.75</f>
        <v>162424.75</v>
      </c>
      <c r="G297" s="18">
        <v>21413.87</v>
      </c>
      <c r="H297" s="18">
        <v>600</v>
      </c>
      <c r="I297" s="18">
        <f>2100+51492.73</f>
        <v>53592.73</v>
      </c>
      <c r="J297" s="18">
        <v>0</v>
      </c>
      <c r="K297" s="18">
        <f>6653.28+310.05+137.8</f>
        <v>7101.13</v>
      </c>
      <c r="L297" s="19">
        <f>SUM(F297:K297)</f>
        <v>245132.48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f>3949.55+4006.69</f>
        <v>7956.24</v>
      </c>
      <c r="I300" s="18">
        <v>0</v>
      </c>
      <c r="J300" s="18">
        <v>0</v>
      </c>
      <c r="K300" s="18">
        <v>0</v>
      </c>
      <c r="L300" s="19">
        <f t="shared" si="14"/>
        <v>7956.24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162424.75</v>
      </c>
      <c r="G308" s="42">
        <f t="shared" si="15"/>
        <v>21413.87</v>
      </c>
      <c r="H308" s="42">
        <f t="shared" si="15"/>
        <v>8556.24</v>
      </c>
      <c r="I308" s="42">
        <f t="shared" si="15"/>
        <v>53592.73</v>
      </c>
      <c r="J308" s="42">
        <f t="shared" si="15"/>
        <v>0</v>
      </c>
      <c r="K308" s="42">
        <f t="shared" si="15"/>
        <v>7101.13</v>
      </c>
      <c r="L308" s="41">
        <f t="shared" si="15"/>
        <v>253088.72</v>
      </c>
      <c r="N308" s="268"/>
    </row>
    <row r="309" spans="1:14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5" t="s">
        <v>693</v>
      </c>
      <c r="G310" s="175" t="s">
        <v>694</v>
      </c>
      <c r="H310" s="175" t="s">
        <v>695</v>
      </c>
      <c r="I310" s="175" t="s">
        <v>696</v>
      </c>
      <c r="J310" s="175" t="s">
        <v>697</v>
      </c>
      <c r="K310" s="175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1200+14478.29</f>
        <v>15678.29</v>
      </c>
      <c r="G315" s="18">
        <v>2877</v>
      </c>
      <c r="H315" s="18">
        <f>22827.46+2844.21+2100</f>
        <v>27771.67</v>
      </c>
      <c r="I315" s="18">
        <f>10632.1+54+0.3</f>
        <v>10686.4</v>
      </c>
      <c r="J315" s="18">
        <v>39718.47</v>
      </c>
      <c r="K315" s="18">
        <f>2307.37+944</f>
        <v>3251.37</v>
      </c>
      <c r="L315" s="19">
        <f>SUM(F315:K315)</f>
        <v>99983.2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15678.29</v>
      </c>
      <c r="G327" s="42">
        <f t="shared" si="17"/>
        <v>2877</v>
      </c>
      <c r="H327" s="42">
        <f t="shared" si="17"/>
        <v>27771.67</v>
      </c>
      <c r="I327" s="42">
        <f t="shared" si="17"/>
        <v>10686.4</v>
      </c>
      <c r="J327" s="42">
        <f t="shared" si="17"/>
        <v>39718.47</v>
      </c>
      <c r="K327" s="42">
        <f t="shared" si="17"/>
        <v>3251.37</v>
      </c>
      <c r="L327" s="41">
        <f t="shared" si="17"/>
        <v>99983.2</v>
      </c>
      <c r="M327" s="8"/>
      <c r="N327" s="270"/>
    </row>
    <row r="328" spans="1:14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5" t="s">
        <v>693</v>
      </c>
      <c r="G329" s="175" t="s">
        <v>694</v>
      </c>
      <c r="H329" s="175" t="s">
        <v>695</v>
      </c>
      <c r="I329" s="175" t="s">
        <v>696</v>
      </c>
      <c r="J329" s="175" t="s">
        <v>697</v>
      </c>
      <c r="K329" s="175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548421.88</v>
      </c>
      <c r="G337" s="41">
        <f t="shared" si="20"/>
        <v>119866.52</v>
      </c>
      <c r="H337" s="41">
        <f t="shared" si="20"/>
        <v>325752.06</v>
      </c>
      <c r="I337" s="41">
        <f t="shared" si="20"/>
        <v>104716.76</v>
      </c>
      <c r="J337" s="41">
        <f t="shared" si="20"/>
        <v>43027.18</v>
      </c>
      <c r="K337" s="41">
        <f t="shared" si="20"/>
        <v>41262.81</v>
      </c>
      <c r="L337" s="41">
        <f t="shared" si="20"/>
        <v>1183047.2099999997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69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548421.88</v>
      </c>
      <c r="G351" s="41">
        <f>G337</f>
        <v>119866.52</v>
      </c>
      <c r="H351" s="41">
        <f>H337</f>
        <v>325752.06</v>
      </c>
      <c r="I351" s="41">
        <f>I337</f>
        <v>104716.76</v>
      </c>
      <c r="J351" s="41">
        <f>J337</f>
        <v>43027.18</v>
      </c>
      <c r="K351" s="47">
        <f>K337+K350</f>
        <v>41262.81</v>
      </c>
      <c r="L351" s="41">
        <f>L337+L350</f>
        <v>1183047.2099999997</v>
      </c>
      <c r="M351" s="52"/>
      <c r="N351" s="269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5" t="s">
        <v>693</v>
      </c>
      <c r="G353" s="175" t="s">
        <v>694</v>
      </c>
      <c r="H353" s="175" t="s">
        <v>695</v>
      </c>
      <c r="I353" s="175" t="s">
        <v>696</v>
      </c>
      <c r="J353" s="175" t="s">
        <v>697</v>
      </c>
      <c r="K353" s="175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443.14530000000002</v>
      </c>
      <c r="G357" s="18">
        <v>72.645799999999994</v>
      </c>
      <c r="H357" s="18">
        <v>251197.44</v>
      </c>
      <c r="I357" s="18">
        <v>37385.2552</v>
      </c>
      <c r="J357" s="18">
        <v>0</v>
      </c>
      <c r="K357" s="18">
        <v>0</v>
      </c>
      <c r="L357" s="13">
        <f>SUM(F357:K357)</f>
        <v>289098.48629999999</v>
      </c>
      <c r="N357" s="268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371.28390000000002</v>
      </c>
      <c r="G358" s="18">
        <v>60.865400000000001</v>
      </c>
      <c r="H358" s="18">
        <v>210462.72</v>
      </c>
      <c r="I358" s="18">
        <v>70.977599999999995</v>
      </c>
      <c r="J358" s="18">
        <v>0</v>
      </c>
      <c r="K358" s="18">
        <v>0</v>
      </c>
      <c r="L358" s="19">
        <f>SUM(F358:K358)</f>
        <v>210965.8469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383.26080000000002</v>
      </c>
      <c r="G359" s="18">
        <v>62.828800000000001</v>
      </c>
      <c r="H359" s="18">
        <v>217251.84</v>
      </c>
      <c r="I359" s="18">
        <v>73.267200000000003</v>
      </c>
      <c r="J359" s="18">
        <v>0</v>
      </c>
      <c r="K359" s="18">
        <v>0</v>
      </c>
      <c r="L359" s="19">
        <f>SUM(F359:K359)</f>
        <v>217771.19680000001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1197.69</v>
      </c>
      <c r="G361" s="47">
        <f t="shared" si="22"/>
        <v>196.34</v>
      </c>
      <c r="H361" s="47">
        <f t="shared" si="22"/>
        <v>678912</v>
      </c>
      <c r="I361" s="47">
        <f t="shared" si="22"/>
        <v>37529.5</v>
      </c>
      <c r="J361" s="47">
        <f t="shared" si="22"/>
        <v>0</v>
      </c>
      <c r="K361" s="47">
        <f t="shared" si="22"/>
        <v>0</v>
      </c>
      <c r="L361" s="47">
        <f t="shared" si="22"/>
        <v>717835.53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f>I357</f>
        <v>37385.2552</v>
      </c>
      <c r="G367" s="18">
        <f>I358</f>
        <v>70.977599999999995</v>
      </c>
      <c r="H367" s="18">
        <f>I359</f>
        <v>73.267200000000003</v>
      </c>
      <c r="I367" s="56">
        <f>SUM(F367:H367)</f>
        <v>37529.5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37385.2552</v>
      </c>
      <c r="G368" s="47">
        <f>SUM(G366:G367)</f>
        <v>70.977599999999995</v>
      </c>
      <c r="H368" s="47">
        <f>SUM(H366:H367)</f>
        <v>73.267200000000003</v>
      </c>
      <c r="I368" s="47">
        <f>SUM(I366:I367)</f>
        <v>37529.5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5" t="s">
        <v>693</v>
      </c>
      <c r="G370" s="175" t="s">
        <v>694</v>
      </c>
      <c r="H370" s="175" t="s">
        <v>695</v>
      </c>
      <c r="I370" s="175" t="s">
        <v>696</v>
      </c>
      <c r="J370" s="175" t="s">
        <v>697</v>
      </c>
      <c r="K370" s="175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f>1056500.54+52503.02+38000</f>
        <v>1147003.56</v>
      </c>
      <c r="I379" s="18">
        <v>0</v>
      </c>
      <c r="J379" s="18">
        <v>0</v>
      </c>
      <c r="K379" s="18">
        <v>0</v>
      </c>
      <c r="L379" s="13">
        <f t="shared" si="23"/>
        <v>1147003.56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0</v>
      </c>
      <c r="G381" s="138">
        <f t="shared" ref="G381:L381" si="24">SUM(G373:G380)</f>
        <v>0</v>
      </c>
      <c r="H381" s="138">
        <f t="shared" si="24"/>
        <v>1147003.56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1147003.56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  <c r="N385" s="270"/>
    </row>
    <row r="386" spans="1:14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58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0</v>
      </c>
      <c r="H392" s="138">
        <f>SUM(H386:H391)</f>
        <v>0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f>J192</f>
        <v>152620.69</v>
      </c>
      <c r="J399" s="24" t="s">
        <v>289</v>
      </c>
      <c r="K399" s="24" t="s">
        <v>289</v>
      </c>
      <c r="L399" s="56">
        <f t="shared" si="26"/>
        <v>152620.69</v>
      </c>
      <c r="M399" s="8"/>
      <c r="N399" s="270"/>
    </row>
    <row r="400" spans="1:14" s="3" customFormat="1" ht="12" customHeight="1" thickTop="1" x14ac:dyDescent="0.15">
      <c r="A400" s="158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152620.69</v>
      </c>
      <c r="J400" s="45" t="s">
        <v>289</v>
      </c>
      <c r="K400" s="45" t="s">
        <v>289</v>
      </c>
      <c r="L400" s="47">
        <f>SUM(L394:L399)</f>
        <v>152620.69</v>
      </c>
      <c r="M400" s="8"/>
      <c r="N400" s="270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09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58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152620.69</v>
      </c>
      <c r="J407" s="24" t="s">
        <v>289</v>
      </c>
      <c r="K407" s="24" t="s">
        <v>289</v>
      </c>
      <c r="L407" s="47">
        <f>L392+L400+L406</f>
        <v>152620.69</v>
      </c>
      <c r="M407" s="8"/>
      <c r="N407" s="270"/>
    </row>
    <row r="408" spans="1:21" s="3" customFormat="1" ht="12" customHeight="1" x14ac:dyDescent="0.15">
      <c r="A408" s="77"/>
      <c r="B408" s="2"/>
      <c r="C408" s="6"/>
      <c r="D408" s="6"/>
      <c r="E408" s="6"/>
      <c r="F408" s="175" t="s">
        <v>693</v>
      </c>
      <c r="G408" s="175" t="s">
        <v>694</v>
      </c>
      <c r="H408" s="175" t="s">
        <v>695</v>
      </c>
      <c r="I408" s="175" t="s">
        <v>696</v>
      </c>
      <c r="J408" s="175" t="s">
        <v>697</v>
      </c>
      <c r="K408" s="175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69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5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70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58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0</v>
      </c>
      <c r="K418" s="138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70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>
        <v>72948.399999999994</v>
      </c>
      <c r="G425" s="18">
        <f>2913.1+13134.24+668.83+300.04+5354.08+5184.91</f>
        <v>27555.200000000001</v>
      </c>
      <c r="H425" s="18">
        <f>40154.51-2236.02-2682.49</f>
        <v>35236.000000000007</v>
      </c>
      <c r="I425" s="18">
        <f>3653.71+2236.02</f>
        <v>5889.73</v>
      </c>
      <c r="J425" s="18">
        <v>2682.49</v>
      </c>
      <c r="K425" s="18">
        <v>0</v>
      </c>
      <c r="L425" s="56">
        <f t="shared" si="29"/>
        <v>144311.82</v>
      </c>
      <c r="M425" s="8"/>
      <c r="N425" s="270"/>
    </row>
    <row r="426" spans="1:21" s="3" customFormat="1" ht="12" customHeight="1" thickTop="1" x14ac:dyDescent="0.15">
      <c r="A426" s="158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72948.399999999994</v>
      </c>
      <c r="G426" s="47">
        <f t="shared" si="30"/>
        <v>27555.200000000001</v>
      </c>
      <c r="H426" s="47">
        <f t="shared" si="30"/>
        <v>35236.000000000007</v>
      </c>
      <c r="I426" s="47">
        <f t="shared" si="30"/>
        <v>5889.73</v>
      </c>
      <c r="J426" s="47">
        <f t="shared" si="30"/>
        <v>2682.49</v>
      </c>
      <c r="K426" s="47">
        <f t="shared" si="30"/>
        <v>0</v>
      </c>
      <c r="L426" s="47">
        <f t="shared" si="30"/>
        <v>144311.82</v>
      </c>
      <c r="M426" s="8"/>
      <c r="N426" s="270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225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7"/>
      <c r="N428" s="225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N430" s="268"/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58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72948.399999999994</v>
      </c>
      <c r="G433" s="47">
        <f t="shared" si="32"/>
        <v>27555.200000000001</v>
      </c>
      <c r="H433" s="47">
        <f t="shared" si="32"/>
        <v>35236.000000000007</v>
      </c>
      <c r="I433" s="47">
        <f t="shared" si="32"/>
        <v>5889.73</v>
      </c>
      <c r="J433" s="47">
        <f t="shared" si="32"/>
        <v>2682.49</v>
      </c>
      <c r="K433" s="47">
        <f t="shared" si="32"/>
        <v>0</v>
      </c>
      <c r="L433" s="47">
        <f t="shared" si="32"/>
        <v>144311.82</v>
      </c>
      <c r="M433" s="8"/>
      <c r="N433" s="270"/>
    </row>
    <row r="434" spans="1:14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129515.23</v>
      </c>
      <c r="I441" s="56">
        <f t="shared" si="33"/>
        <v>129515.23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129515.23</v>
      </c>
      <c r="I445" s="13">
        <f>SUM(I438:I444)</f>
        <v>129515.23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520.02</v>
      </c>
      <c r="I449" s="56">
        <f>SUM(F449:H449)</f>
        <v>520.02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0</v>
      </c>
      <c r="G451" s="71">
        <f>SUM(G447:G450)</f>
        <v>0</v>
      </c>
      <c r="H451" s="71">
        <f>SUM(H447:H450)</f>
        <v>520.02</v>
      </c>
      <c r="I451" s="71">
        <f>SUM(I447:I450)</f>
        <v>520.02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225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69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0</v>
      </c>
      <c r="H458" s="18">
        <f>120686.34+8308.87</f>
        <v>128995.20999999999</v>
      </c>
      <c r="I458" s="56">
        <f t="shared" si="34"/>
        <v>128995.20999999999</v>
      </c>
      <c r="J458" s="24" t="s">
        <v>289</v>
      </c>
      <c r="K458" s="24" t="s">
        <v>289</v>
      </c>
      <c r="L458" s="24" t="s">
        <v>289</v>
      </c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0</v>
      </c>
      <c r="G459" s="82">
        <f>SUM(G453:G458)</f>
        <v>0</v>
      </c>
      <c r="H459" s="82">
        <f>SUM(H453:H458)</f>
        <v>128995.20999999999</v>
      </c>
      <c r="I459" s="82">
        <f>SUM(I453:I458)</f>
        <v>128995.20999999999</v>
      </c>
      <c r="J459" s="24" t="s">
        <v>289</v>
      </c>
      <c r="K459" s="24" t="s">
        <v>289</v>
      </c>
      <c r="L459" s="24" t="s">
        <v>289</v>
      </c>
      <c r="N459" s="269"/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5" t="s">
        <v>433</v>
      </c>
      <c r="E460" s="81"/>
      <c r="F460" s="42">
        <f>F451+F459</f>
        <v>0</v>
      </c>
      <c r="G460" s="42">
        <f>G451+G459</f>
        <v>0</v>
      </c>
      <c r="H460" s="42">
        <f>H451+H459</f>
        <v>129515.23</v>
      </c>
      <c r="I460" s="42">
        <f>I451+I459</f>
        <v>129515.23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  <c r="N461" s="269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69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  <c r="N463" s="269"/>
    </row>
    <row r="464" spans="1:23" s="52" customFormat="1" ht="12" customHeight="1" x14ac:dyDescent="0.2">
      <c r="A464" s="187" t="s">
        <v>899</v>
      </c>
      <c r="B464" s="104">
        <v>19</v>
      </c>
      <c r="C464" s="110">
        <v>1</v>
      </c>
      <c r="D464" s="2" t="s">
        <v>433</v>
      </c>
      <c r="E464" s="110"/>
      <c r="F464" s="18"/>
      <c r="G464" s="18">
        <v>3336.74</v>
      </c>
      <c r="H464" s="18">
        <v>46478.91</v>
      </c>
      <c r="I464" s="18">
        <v>467391.32</v>
      </c>
      <c r="J464" s="18">
        <v>120686.34</v>
      </c>
      <c r="K464" s="24" t="s">
        <v>289</v>
      </c>
      <c r="L464" s="24" t="s">
        <v>289</v>
      </c>
      <c r="N464" s="269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f>F192</f>
        <v>24732400.73</v>
      </c>
      <c r="G467" s="18">
        <f t="shared" ref="G467:J467" si="35">G192</f>
        <v>728647.14</v>
      </c>
      <c r="H467" s="18">
        <f t="shared" si="35"/>
        <v>1198290.3299999998</v>
      </c>
      <c r="I467" s="18">
        <f t="shared" si="35"/>
        <v>77894.080000000002</v>
      </c>
      <c r="J467" s="18">
        <f t="shared" si="35"/>
        <v>152620.69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24732400.73</v>
      </c>
      <c r="G469" s="53">
        <f>SUM(G467:G468)</f>
        <v>728647.14</v>
      </c>
      <c r="H469" s="53">
        <f>SUM(H467:H468)</f>
        <v>1198290.3299999998</v>
      </c>
      <c r="I469" s="53">
        <f>SUM(I467:I468)</f>
        <v>77894.080000000002</v>
      </c>
      <c r="J469" s="53">
        <f>SUM(J467:J468)</f>
        <v>152620.69</v>
      </c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f>L270</f>
        <v>24732400.729999997</v>
      </c>
      <c r="G471" s="18">
        <f>L361</f>
        <v>717835.53</v>
      </c>
      <c r="H471" s="18">
        <f>L351</f>
        <v>1183047.2099999997</v>
      </c>
      <c r="I471" s="18">
        <f>L381</f>
        <v>1147003.56</v>
      </c>
      <c r="J471" s="18">
        <f>L433</f>
        <v>144311.82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24732400.729999997</v>
      </c>
      <c r="G473" s="53">
        <f>SUM(G471:G472)</f>
        <v>717835.53</v>
      </c>
      <c r="H473" s="53">
        <f>SUM(H471:H472)</f>
        <v>1183047.2099999997</v>
      </c>
      <c r="I473" s="53">
        <f>SUM(I471:I472)</f>
        <v>1147003.56</v>
      </c>
      <c r="J473" s="53">
        <f>SUM(J471:J472)</f>
        <v>144311.82</v>
      </c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188" t="s">
        <v>900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0</v>
      </c>
      <c r="G475" s="53">
        <f>(G464+G469)- G473</f>
        <v>14148.349999999977</v>
      </c>
      <c r="H475" s="53">
        <f>(H464+H469)- H473</f>
        <v>61722.030000000028</v>
      </c>
      <c r="I475" s="53">
        <f>(I464+I469)- I473</f>
        <v>-601718.16</v>
      </c>
      <c r="J475" s="53">
        <f>(J464+J469)- J473</f>
        <v>128995.21000000002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N476" s="269"/>
    </row>
    <row r="477" spans="1:14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  <c r="N478" s="269"/>
    </row>
    <row r="479" spans="1:14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  <c r="N479" s="269"/>
    </row>
    <row r="480" spans="1:14" s="52" customFormat="1" ht="12" customHeight="1" x14ac:dyDescent="0.2">
      <c r="A480" s="173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  <c r="N480" s="269"/>
    </row>
    <row r="481" spans="1:14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  <c r="N481" s="269"/>
    </row>
    <row r="482" spans="1:14" s="52" customFormat="1" ht="12" customHeight="1" x14ac:dyDescent="0.2">
      <c r="A482" s="172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  <c r="N484" s="269"/>
    </row>
    <row r="485" spans="1:14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  <c r="N485" s="269"/>
    </row>
    <row r="486" spans="1:14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  <c r="N486" s="269"/>
    </row>
    <row r="487" spans="1:14" s="52" customFormat="1" ht="12" customHeight="1" x14ac:dyDescent="0.2">
      <c r="A487" s="145" t="s">
        <v>901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  <c r="N487" s="269"/>
    </row>
    <row r="488" spans="1:14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  <c r="N488" s="269"/>
    </row>
    <row r="489" spans="1:14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52">
        <v>1</v>
      </c>
      <c r="G489" s="152">
        <v>2</v>
      </c>
      <c r="H489" s="152">
        <v>3</v>
      </c>
      <c r="I489" s="152">
        <v>4</v>
      </c>
      <c r="J489" s="152"/>
      <c r="K489" s="24" t="s">
        <v>289</v>
      </c>
      <c r="L489" s="24" t="s">
        <v>289</v>
      </c>
      <c r="N489" s="269"/>
    </row>
    <row r="490" spans="1:14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153" t="s">
        <v>909</v>
      </c>
      <c r="G490" s="153" t="s">
        <v>909</v>
      </c>
      <c r="H490" s="153" t="s">
        <v>910</v>
      </c>
      <c r="I490" s="153" t="s">
        <v>911</v>
      </c>
      <c r="J490" s="152"/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153" t="s">
        <v>909</v>
      </c>
      <c r="G491" s="153" t="s">
        <v>909</v>
      </c>
      <c r="H491" s="153" t="s">
        <v>912</v>
      </c>
      <c r="I491" s="153" t="s">
        <v>913</v>
      </c>
      <c r="J491" s="152"/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>
        <v>5300000</v>
      </c>
      <c r="G492" s="18">
        <v>310000</v>
      </c>
      <c r="H492" s="18">
        <v>1338545</v>
      </c>
      <c r="I492" s="18">
        <v>18953000</v>
      </c>
      <c r="J492" s="18">
        <v>0</v>
      </c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>
        <v>5.63</v>
      </c>
      <c r="G493" s="18">
        <v>5.2</v>
      </c>
      <c r="H493" s="18">
        <v>3.68</v>
      </c>
      <c r="I493" s="18">
        <v>3.73</v>
      </c>
      <c r="J493" s="18">
        <v>0</v>
      </c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1325000</v>
      </c>
      <c r="G494" s="18">
        <v>120000</v>
      </c>
      <c r="H494" s="18">
        <v>935000</v>
      </c>
      <c r="I494" s="18">
        <v>16252203</v>
      </c>
      <c r="J494" s="18">
        <v>0</v>
      </c>
      <c r="K494" s="53">
        <f>SUM(F494:J494)</f>
        <v>18632203</v>
      </c>
      <c r="L494" s="24" t="s">
        <v>289</v>
      </c>
      <c r="N494" s="269"/>
    </row>
    <row r="495" spans="1:14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6">SUM(F495:J495)</f>
        <v>0</v>
      </c>
      <c r="L495" s="24" t="s">
        <v>289</v>
      </c>
      <c r="N495" s="269"/>
    </row>
    <row r="496" spans="1:14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265000</v>
      </c>
      <c r="G496" s="18">
        <v>15000</v>
      </c>
      <c r="H496" s="18">
        <v>135000</v>
      </c>
      <c r="I496" s="18">
        <v>1268130</v>
      </c>
      <c r="J496" s="18">
        <v>0</v>
      </c>
      <c r="K496" s="53">
        <f t="shared" si="36"/>
        <v>1683130</v>
      </c>
      <c r="L496" s="24" t="s">
        <v>289</v>
      </c>
      <c r="N496" s="269"/>
    </row>
    <row r="497" spans="1:14" s="52" customFormat="1" ht="12" customHeight="1" x14ac:dyDescent="0.2">
      <c r="A497" s="198" t="s">
        <v>626</v>
      </c>
      <c r="B497" s="199">
        <v>20</v>
      </c>
      <c r="C497" s="200">
        <v>9</v>
      </c>
      <c r="D497" s="201" t="s">
        <v>433</v>
      </c>
      <c r="E497" s="200"/>
      <c r="F497" s="202">
        <f>F494-F496</f>
        <v>1060000</v>
      </c>
      <c r="G497" s="202">
        <f>G494-G496</f>
        <v>105000</v>
      </c>
      <c r="H497" s="202">
        <f>H494-H496</f>
        <v>800000</v>
      </c>
      <c r="I497" s="202">
        <f>I494-I496</f>
        <v>14984073</v>
      </c>
      <c r="J497" s="202">
        <f>J492</f>
        <v>0</v>
      </c>
      <c r="K497" s="203">
        <f t="shared" si="36"/>
        <v>16949073</v>
      </c>
      <c r="L497" s="204" t="s">
        <v>289</v>
      </c>
      <c r="N497" s="269"/>
    </row>
    <row r="498" spans="1:14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6"/>
        <v>0</v>
      </c>
      <c r="L498" s="24" t="s">
        <v>289</v>
      </c>
      <c r="N498" s="269"/>
    </row>
    <row r="499" spans="1:14" s="52" customFormat="1" ht="12" customHeight="1" thickTop="1" x14ac:dyDescent="0.2">
      <c r="A499" s="138" t="s">
        <v>628</v>
      </c>
      <c r="B499" s="44">
        <v>20</v>
      </c>
      <c r="C499" s="193">
        <v>11</v>
      </c>
      <c r="D499" s="39" t="s">
        <v>433</v>
      </c>
      <c r="E499" s="193"/>
      <c r="F499" s="42">
        <f>SUM(F497:F498)</f>
        <v>1060000</v>
      </c>
      <c r="G499" s="42">
        <f>SUM(G497:G498)</f>
        <v>105000</v>
      </c>
      <c r="H499" s="42">
        <f>SUM(H497:H498)</f>
        <v>800000</v>
      </c>
      <c r="I499" s="42">
        <f>SUM(I497:I498)</f>
        <v>14984073</v>
      </c>
      <c r="J499" s="42">
        <f>SUM(J497:J498)</f>
        <v>0</v>
      </c>
      <c r="K499" s="42">
        <f t="shared" si="36"/>
        <v>16949073</v>
      </c>
      <c r="L499" s="45" t="s">
        <v>289</v>
      </c>
      <c r="N499" s="269"/>
    </row>
    <row r="500" spans="1:14" s="52" customFormat="1" ht="12" customHeight="1" x14ac:dyDescent="0.2">
      <c r="A500" s="198" t="s">
        <v>655</v>
      </c>
      <c r="B500" s="199">
        <v>20</v>
      </c>
      <c r="C500" s="200">
        <v>12</v>
      </c>
      <c r="D500" s="201" t="s">
        <v>433</v>
      </c>
      <c r="E500" s="200"/>
      <c r="F500" s="202">
        <v>265000</v>
      </c>
      <c r="G500" s="202">
        <v>15000</v>
      </c>
      <c r="H500" s="202">
        <v>135000</v>
      </c>
      <c r="I500" s="202">
        <v>1219687</v>
      </c>
      <c r="J500" s="202">
        <v>0</v>
      </c>
      <c r="K500" s="203">
        <f t="shared" si="36"/>
        <v>1634687</v>
      </c>
      <c r="L500" s="204" t="s">
        <v>289</v>
      </c>
      <c r="N500" s="269"/>
    </row>
    <row r="501" spans="1:14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53331</v>
      </c>
      <c r="G501" s="18">
        <v>5119</v>
      </c>
      <c r="H501" s="18">
        <v>38456</v>
      </c>
      <c r="I501" s="18">
        <v>217976</v>
      </c>
      <c r="J501" s="18">
        <v>0</v>
      </c>
      <c r="K501" s="53">
        <f t="shared" si="36"/>
        <v>314882</v>
      </c>
      <c r="L501" s="24" t="s">
        <v>289</v>
      </c>
      <c r="N501" s="269"/>
    </row>
    <row r="502" spans="1:14" s="52" customFormat="1" ht="12" customHeight="1" thickTop="1" x14ac:dyDescent="0.2">
      <c r="A502" s="138" t="s">
        <v>630</v>
      </c>
      <c r="B502" s="44">
        <v>20</v>
      </c>
      <c r="C502" s="193">
        <v>14</v>
      </c>
      <c r="D502" s="39" t="s">
        <v>433</v>
      </c>
      <c r="E502" s="193"/>
      <c r="F502" s="42">
        <f>SUM(F500:F501)</f>
        <v>318331</v>
      </c>
      <c r="G502" s="42">
        <f>SUM(G500:G501)</f>
        <v>20119</v>
      </c>
      <c r="H502" s="42">
        <f>SUM(H500:H501)</f>
        <v>173456</v>
      </c>
      <c r="I502" s="42">
        <f>SUM(I500:I501)</f>
        <v>1437663</v>
      </c>
      <c r="J502" s="42">
        <f>SUM(J500:J501)</f>
        <v>0</v>
      </c>
      <c r="K502" s="42">
        <f t="shared" si="36"/>
        <v>1949569</v>
      </c>
      <c r="L502" s="45" t="s">
        <v>289</v>
      </c>
      <c r="N502" s="269"/>
    </row>
    <row r="503" spans="1:14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  <c r="N503" s="269"/>
    </row>
    <row r="504" spans="1:14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  <c r="N505" s="269"/>
    </row>
    <row r="506" spans="1:14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/>
      <c r="G506" s="143"/>
      <c r="H506" s="143"/>
      <c r="I506" s="143"/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69"/>
    </row>
    <row r="508" spans="1:14" s="52" customFormat="1" ht="12" customHeight="1" x14ac:dyDescent="0.2">
      <c r="A508" s="145" t="s">
        <v>902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  <c r="N508" s="269"/>
    </row>
    <row r="509" spans="1:14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  <c r="N509" s="269"/>
    </row>
    <row r="510" spans="1:14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69"/>
    </row>
    <row r="511" spans="1:14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x14ac:dyDescent="0.2">
      <c r="A517" s="95" t="s">
        <v>702</v>
      </c>
      <c r="B517" s="104"/>
      <c r="C517" s="114"/>
      <c r="D517" s="114"/>
      <c r="E517" s="114"/>
      <c r="F517" s="175" t="s">
        <v>693</v>
      </c>
      <c r="G517" s="175" t="s">
        <v>694</v>
      </c>
      <c r="H517" s="175" t="s">
        <v>695</v>
      </c>
      <c r="I517" s="175" t="s">
        <v>696</v>
      </c>
      <c r="J517" s="175" t="s">
        <v>697</v>
      </c>
      <c r="K517" s="175" t="s">
        <v>698</v>
      </c>
      <c r="L517" s="105"/>
      <c r="N517" s="269"/>
    </row>
    <row r="518" spans="1:14" s="52" customFormat="1" ht="12" customHeight="1" x14ac:dyDescent="0.2">
      <c r="A518" s="176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  <c r="N518" s="269"/>
    </row>
    <row r="519" spans="1:14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69"/>
    </row>
    <row r="520" spans="1:14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v>1391642.5961044861</v>
      </c>
      <c r="G520" s="18">
        <v>854854.279290176</v>
      </c>
      <c r="H520" s="18">
        <v>397915.04986371379</v>
      </c>
      <c r="I520" s="18">
        <v>56155.569999999992</v>
      </c>
      <c r="J520" s="18">
        <v>3389.9599999999996</v>
      </c>
      <c r="K520" s="18">
        <v>0</v>
      </c>
      <c r="L520" s="87">
        <f>SUM(F520:K520)</f>
        <v>2703957.4552583755</v>
      </c>
      <c r="N520" s="269"/>
    </row>
    <row r="521" spans="1:14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v>642896.93070982385</v>
      </c>
      <c r="G521" s="18">
        <v>416246.68224304373</v>
      </c>
      <c r="H521" s="18">
        <v>225653.29603066438</v>
      </c>
      <c r="I521" s="18">
        <v>4182.2300000000005</v>
      </c>
      <c r="J521" s="18">
        <v>1977.74</v>
      </c>
      <c r="K521" s="18">
        <v>0</v>
      </c>
      <c r="L521" s="87">
        <f>SUM(F521:K521)</f>
        <v>1290956.8789835318</v>
      </c>
      <c r="N521" s="269"/>
    </row>
    <row r="522" spans="1:14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v>592167.34318568988</v>
      </c>
      <c r="G522" s="18">
        <v>323068.88846678019</v>
      </c>
      <c r="H522" s="18">
        <v>974393.83410562179</v>
      </c>
      <c r="I522" s="18">
        <v>7535.7699999999986</v>
      </c>
      <c r="J522" s="18">
        <v>528.21</v>
      </c>
      <c r="K522" s="18">
        <v>0</v>
      </c>
      <c r="L522" s="87">
        <f>SUM(F522:K522)</f>
        <v>1897694.0457580918</v>
      </c>
      <c r="N522" s="269"/>
    </row>
    <row r="523" spans="1:14" s="52" customFormat="1" ht="12" customHeight="1" thickTop="1" x14ac:dyDescent="0.2">
      <c r="A523" s="138" t="s">
        <v>63</v>
      </c>
      <c r="B523" s="106">
        <v>21</v>
      </c>
      <c r="C523" s="193">
        <v>4</v>
      </c>
      <c r="D523" s="194" t="s">
        <v>433</v>
      </c>
      <c r="E523" s="193"/>
      <c r="F523" s="107">
        <f>SUM(F520:F522)</f>
        <v>2626706.8699999996</v>
      </c>
      <c r="G523" s="107">
        <f t="shared" ref="G523:L523" si="37">SUM(G520:G522)</f>
        <v>1594169.85</v>
      </c>
      <c r="H523" s="107">
        <f t="shared" si="37"/>
        <v>1597962.18</v>
      </c>
      <c r="I523" s="107">
        <f t="shared" si="37"/>
        <v>67873.569999999992</v>
      </c>
      <c r="J523" s="107">
        <f t="shared" si="37"/>
        <v>5895.91</v>
      </c>
      <c r="K523" s="107">
        <f t="shared" si="37"/>
        <v>0</v>
      </c>
      <c r="L523" s="88">
        <f t="shared" si="37"/>
        <v>5892608.379999999</v>
      </c>
      <c r="N523" s="269"/>
    </row>
    <row r="524" spans="1:14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69"/>
    </row>
    <row r="525" spans="1:14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172907.68000000002</v>
      </c>
      <c r="G525" s="18">
        <v>86332.17</v>
      </c>
      <c r="H525" s="18">
        <v>180857.83000000002</v>
      </c>
      <c r="I525" s="18">
        <v>147330.33232254401</v>
      </c>
      <c r="J525" s="18">
        <v>0</v>
      </c>
      <c r="K525" s="18">
        <v>5491.5669789892108</v>
      </c>
      <c r="L525" s="87">
        <f>SUM(F525:K525)</f>
        <v>592919.57930153329</v>
      </c>
      <c r="M525" s="8"/>
      <c r="N525" s="270"/>
    </row>
    <row r="526" spans="1:14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229981.59</v>
      </c>
      <c r="G526" s="18">
        <v>60618.25</v>
      </c>
      <c r="H526" s="18">
        <v>8556.24</v>
      </c>
      <c r="I526" s="18">
        <v>129151.84306076093</v>
      </c>
      <c r="J526" s="18">
        <v>0</v>
      </c>
      <c r="K526" s="18">
        <v>2879.1403463940942</v>
      </c>
      <c r="L526" s="87">
        <f>SUM(F526:K526)</f>
        <v>431187.06340715499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26478.29</v>
      </c>
      <c r="G527" s="18">
        <v>2877</v>
      </c>
      <c r="H527" s="18">
        <v>30171.67</v>
      </c>
      <c r="I527" s="18">
        <v>106529.77461669507</v>
      </c>
      <c r="J527" s="18">
        <v>39718.47</v>
      </c>
      <c r="K527" s="18">
        <v>4616.4426746166955</v>
      </c>
      <c r="L527" s="87">
        <f>SUM(F527:K527)</f>
        <v>210391.64729131176</v>
      </c>
      <c r="M527" s="8"/>
      <c r="N527" s="270"/>
    </row>
    <row r="528" spans="1:14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6" t="s">
        <v>433</v>
      </c>
      <c r="E528" s="106"/>
      <c r="F528" s="88">
        <f>SUM(F525:F527)</f>
        <v>429367.56</v>
      </c>
      <c r="G528" s="88">
        <f t="shared" ref="G528:L528" si="38">SUM(G525:G527)</f>
        <v>149827.41999999998</v>
      </c>
      <c r="H528" s="88">
        <f t="shared" si="38"/>
        <v>219585.74</v>
      </c>
      <c r="I528" s="88">
        <f t="shared" si="38"/>
        <v>383011.95</v>
      </c>
      <c r="J528" s="88">
        <f t="shared" si="38"/>
        <v>39718.47</v>
      </c>
      <c r="K528" s="88">
        <f t="shared" si="38"/>
        <v>12987.15</v>
      </c>
      <c r="L528" s="88">
        <f t="shared" si="38"/>
        <v>1234498.29</v>
      </c>
      <c r="M528" s="8"/>
      <c r="N528" s="270"/>
    </row>
    <row r="529" spans="1:14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18">
        <v>97177.875581782893</v>
      </c>
      <c r="G530" s="18">
        <v>32912.871216224186</v>
      </c>
      <c r="H530" s="18">
        <v>500</v>
      </c>
      <c r="I530" s="18">
        <v>478.10599999999999</v>
      </c>
      <c r="J530" s="18">
        <v>200</v>
      </c>
      <c r="K530" s="18">
        <v>40318.81</v>
      </c>
      <c r="L530" s="87">
        <f>SUM(F530:K530)</f>
        <v>171587.66279800708</v>
      </c>
      <c r="M530" s="8"/>
      <c r="N530" s="270"/>
    </row>
    <row r="531" spans="1:14" s="3" customFormat="1" ht="12" customHeight="1" x14ac:dyDescent="0.15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18">
        <v>30337.39552917883</v>
      </c>
      <c r="G531" s="18">
        <v>14232.778896675443</v>
      </c>
      <c r="H531" s="18">
        <v>0</v>
      </c>
      <c r="I531" s="18">
        <v>27.400000000000002</v>
      </c>
      <c r="J531" s="18">
        <v>0</v>
      </c>
      <c r="K531" s="18">
        <v>0</v>
      </c>
      <c r="L531" s="87">
        <f>SUM(F531:K531)</f>
        <v>44597.574425854276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18">
        <v>35826.273869760174</v>
      </c>
      <c r="G532" s="18">
        <v>19613.785946590768</v>
      </c>
      <c r="H532" s="18">
        <v>0</v>
      </c>
      <c r="I532" s="18">
        <v>220.41300000000001</v>
      </c>
      <c r="J532" s="18">
        <v>0</v>
      </c>
      <c r="K532" s="18">
        <v>0</v>
      </c>
      <c r="L532" s="87">
        <f>SUM(F532:K532)</f>
        <v>55660.472816350943</v>
      </c>
      <c r="M532" s="8"/>
      <c r="N532" s="270"/>
    </row>
    <row r="533" spans="1:14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6" t="s">
        <v>433</v>
      </c>
      <c r="E533" s="106"/>
      <c r="F533" s="88">
        <f>SUM(F530:F532)</f>
        <v>163341.5449807219</v>
      </c>
      <c r="G533" s="88">
        <f t="shared" ref="G533:L533" si="39">SUM(G530:G532)</f>
        <v>66759.436059490399</v>
      </c>
      <c r="H533" s="88">
        <f t="shared" si="39"/>
        <v>500</v>
      </c>
      <c r="I533" s="88">
        <f t="shared" si="39"/>
        <v>725.91899999999998</v>
      </c>
      <c r="J533" s="88">
        <f t="shared" si="39"/>
        <v>200</v>
      </c>
      <c r="K533" s="88">
        <f t="shared" si="39"/>
        <v>40318.81</v>
      </c>
      <c r="L533" s="88">
        <f t="shared" si="39"/>
        <v>271845.71004021232</v>
      </c>
      <c r="M533" s="8"/>
      <c r="N533" s="270"/>
    </row>
    <row r="534" spans="1:14" s="3" customFormat="1" ht="12" customHeight="1" x14ac:dyDescent="0.15">
      <c r="A534" s="96" t="s">
        <v>68</v>
      </c>
      <c r="B534" s="104"/>
      <c r="C534" s="104"/>
      <c r="D534" s="104"/>
      <c r="E534" s="104"/>
      <c r="F534" s="192" t="s">
        <v>289</v>
      </c>
      <c r="G534" s="192" t="s">
        <v>289</v>
      </c>
      <c r="H534" s="192" t="s">
        <v>289</v>
      </c>
      <c r="I534" s="192" t="s">
        <v>289</v>
      </c>
      <c r="J534" s="192" t="s">
        <v>289</v>
      </c>
      <c r="K534" s="192" t="s">
        <v>289</v>
      </c>
      <c r="L534" s="192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>
        <v>0</v>
      </c>
      <c r="G535" s="18">
        <v>0</v>
      </c>
      <c r="H535" s="18">
        <v>4423.9280919931853</v>
      </c>
      <c r="I535" s="18">
        <v>0</v>
      </c>
      <c r="J535" s="18">
        <v>0</v>
      </c>
      <c r="K535" s="18">
        <v>0</v>
      </c>
      <c r="L535" s="87">
        <f>SUM(F535:K535)</f>
        <v>4423.9280919931853</v>
      </c>
      <c r="M535" s="8"/>
      <c r="N535" s="270"/>
    </row>
    <row r="536" spans="1:14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>
        <v>0</v>
      </c>
      <c r="G536" s="18">
        <v>0</v>
      </c>
      <c r="H536" s="18">
        <v>2319.3944293015329</v>
      </c>
      <c r="I536" s="18">
        <v>0</v>
      </c>
      <c r="J536" s="18">
        <v>0</v>
      </c>
      <c r="K536" s="18">
        <v>0</v>
      </c>
      <c r="L536" s="87">
        <f>SUM(F536:K536)</f>
        <v>2319.3944293015329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>
        <v>0</v>
      </c>
      <c r="G537" s="18">
        <v>0</v>
      </c>
      <c r="H537" s="18">
        <v>2958.4674787052809</v>
      </c>
      <c r="I537" s="18">
        <v>0</v>
      </c>
      <c r="J537" s="18">
        <v>0</v>
      </c>
      <c r="K537" s="18">
        <v>0</v>
      </c>
      <c r="L537" s="87">
        <f>SUM(F537:K537)</f>
        <v>2958.4674787052809</v>
      </c>
      <c r="M537" s="8"/>
      <c r="N537" s="270"/>
    </row>
    <row r="538" spans="1:14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6" t="s">
        <v>433</v>
      </c>
      <c r="E538" s="106"/>
      <c r="F538" s="88">
        <f>SUM(F535:F537)</f>
        <v>0</v>
      </c>
      <c r="G538" s="88">
        <f t="shared" ref="G538:L538" si="40">SUM(G535:G537)</f>
        <v>0</v>
      </c>
      <c r="H538" s="88">
        <f t="shared" si="40"/>
        <v>9701.7899999999991</v>
      </c>
      <c r="I538" s="88">
        <f t="shared" si="40"/>
        <v>0</v>
      </c>
      <c r="J538" s="88">
        <f t="shared" si="40"/>
        <v>0</v>
      </c>
      <c r="K538" s="88">
        <f t="shared" si="40"/>
        <v>0</v>
      </c>
      <c r="L538" s="88">
        <f t="shared" si="40"/>
        <v>9701.7899999999991</v>
      </c>
      <c r="M538" s="8"/>
      <c r="N538" s="270"/>
    </row>
    <row r="539" spans="1:14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>
        <v>0</v>
      </c>
      <c r="G540" s="18">
        <v>0</v>
      </c>
      <c r="H540" s="18">
        <v>209460.5972685974</v>
      </c>
      <c r="I540" s="18">
        <v>0</v>
      </c>
      <c r="J540" s="18">
        <v>0</v>
      </c>
      <c r="K540" s="18">
        <v>0</v>
      </c>
      <c r="L540" s="87">
        <f>SUM(F540:K540)</f>
        <v>209460.5972685974</v>
      </c>
      <c r="M540" s="8"/>
      <c r="N540" s="270"/>
    </row>
    <row r="541" spans="1:14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>
        <v>0</v>
      </c>
      <c r="G541" s="18">
        <v>0</v>
      </c>
      <c r="H541" s="18">
        <v>107050.07503123225</v>
      </c>
      <c r="I541" s="18">
        <v>0</v>
      </c>
      <c r="J541" s="18">
        <v>0</v>
      </c>
      <c r="K541" s="18">
        <v>0</v>
      </c>
      <c r="L541" s="87">
        <f>SUM(F541:K541)</f>
        <v>107050.07503123225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>
        <v>0</v>
      </c>
      <c r="G542" s="18">
        <v>0</v>
      </c>
      <c r="H542" s="18">
        <v>136546.05770017035</v>
      </c>
      <c r="I542" s="18">
        <v>0</v>
      </c>
      <c r="J542" s="18">
        <v>0</v>
      </c>
      <c r="K542" s="18">
        <v>0</v>
      </c>
      <c r="L542" s="87">
        <f>SUM(F542:K542)</f>
        <v>136546.05770017035</v>
      </c>
      <c r="M542" s="8"/>
      <c r="N542" s="270"/>
    </row>
    <row r="543" spans="1:14" s="3" customFormat="1" ht="12" customHeight="1" thickTop="1" thickBot="1" x14ac:dyDescent="0.2">
      <c r="A543" s="129" t="s">
        <v>71</v>
      </c>
      <c r="B543" s="189">
        <v>21</v>
      </c>
      <c r="C543" s="189">
        <v>20</v>
      </c>
      <c r="D543" s="190" t="s">
        <v>433</v>
      </c>
      <c r="E543" s="189"/>
      <c r="F543" s="191">
        <f>SUM(F540:F542)</f>
        <v>0</v>
      </c>
      <c r="G543" s="191">
        <f t="shared" ref="G543:L543" si="41">SUM(G540:G542)</f>
        <v>0</v>
      </c>
      <c r="H543" s="191">
        <f t="shared" si="41"/>
        <v>453056.73</v>
      </c>
      <c r="I543" s="191">
        <f t="shared" si="41"/>
        <v>0</v>
      </c>
      <c r="J543" s="191">
        <f t="shared" si="41"/>
        <v>0</v>
      </c>
      <c r="K543" s="191">
        <f t="shared" si="41"/>
        <v>0</v>
      </c>
      <c r="L543" s="191">
        <f t="shared" si="41"/>
        <v>453056.73</v>
      </c>
      <c r="M543" s="8"/>
      <c r="N543" s="270"/>
    </row>
    <row r="544" spans="1:14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6" t="s">
        <v>433</v>
      </c>
      <c r="E544" s="106"/>
      <c r="F544" s="88">
        <f>F523+F528+F533+F538+F543</f>
        <v>3219415.9749807217</v>
      </c>
      <c r="G544" s="88">
        <f t="shared" ref="G544:L544" si="42">G523+G528+G533+G538+G543</f>
        <v>1810756.7060594903</v>
      </c>
      <c r="H544" s="88">
        <f t="shared" si="42"/>
        <v>2280806.44</v>
      </c>
      <c r="I544" s="88">
        <f t="shared" si="42"/>
        <v>451611.43900000001</v>
      </c>
      <c r="J544" s="88">
        <f t="shared" si="42"/>
        <v>45814.380000000005</v>
      </c>
      <c r="K544" s="88">
        <f t="shared" si="42"/>
        <v>53305.96</v>
      </c>
      <c r="L544" s="88">
        <f t="shared" si="42"/>
        <v>7861710.9000402112</v>
      </c>
      <c r="M544" s="8"/>
      <c r="N544" s="270"/>
    </row>
    <row r="545" spans="1:14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  <c r="N545" s="270"/>
    </row>
    <row r="546" spans="1:14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2703957.4552583755</v>
      </c>
      <c r="G548" s="86">
        <f>L525</f>
        <v>592919.57930153329</v>
      </c>
      <c r="H548" s="86">
        <f>L530</f>
        <v>171587.66279800708</v>
      </c>
      <c r="I548" s="86">
        <f>L535</f>
        <v>4423.9280919931853</v>
      </c>
      <c r="J548" s="86">
        <f>L540</f>
        <v>209460.5972685974</v>
      </c>
      <c r="K548" s="86">
        <f>SUM(F548:J548)</f>
        <v>3682349.2227185061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1290956.8789835318</v>
      </c>
      <c r="G549" s="86">
        <f>L526</f>
        <v>431187.06340715499</v>
      </c>
      <c r="H549" s="86">
        <f>L531</f>
        <v>44597.574425854276</v>
      </c>
      <c r="I549" s="86">
        <f>L536</f>
        <v>2319.3944293015329</v>
      </c>
      <c r="J549" s="86">
        <f>L541</f>
        <v>107050.07503123225</v>
      </c>
      <c r="K549" s="86">
        <f>SUM(F549:J549)</f>
        <v>1876110.986277075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1897694.0457580918</v>
      </c>
      <c r="G550" s="86">
        <f>L527</f>
        <v>210391.64729131176</v>
      </c>
      <c r="H550" s="86">
        <f>L532</f>
        <v>55660.472816350943</v>
      </c>
      <c r="I550" s="86">
        <f>L537</f>
        <v>2958.4674787052809</v>
      </c>
      <c r="J550" s="86">
        <f>L542</f>
        <v>136546.05770017035</v>
      </c>
      <c r="K550" s="86">
        <f>SUM(F550:J550)</f>
        <v>2303250.69104463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0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3">SUM(F548:F550)</f>
        <v>5892608.379999999</v>
      </c>
      <c r="G551" s="88">
        <f t="shared" si="43"/>
        <v>1234498.29</v>
      </c>
      <c r="H551" s="88">
        <f t="shared" si="43"/>
        <v>271845.71004021232</v>
      </c>
      <c r="I551" s="88">
        <f t="shared" si="43"/>
        <v>9701.7899999999991</v>
      </c>
      <c r="J551" s="88">
        <f t="shared" si="43"/>
        <v>453056.73</v>
      </c>
      <c r="K551" s="88">
        <f t="shared" si="43"/>
        <v>7861710.9000402112</v>
      </c>
      <c r="L551" s="24"/>
      <c r="M551" s="8"/>
      <c r="N551" s="270"/>
    </row>
    <row r="552" spans="1:14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  <c r="N552" s="270"/>
    </row>
    <row r="553" spans="1:14" s="3" customFormat="1" ht="12" customHeight="1" x14ac:dyDescent="0.15">
      <c r="B553" s="104"/>
      <c r="C553" s="114"/>
      <c r="D553" s="114"/>
      <c r="E553" s="114"/>
      <c r="F553" s="175" t="s">
        <v>693</v>
      </c>
      <c r="G553" s="175" t="s">
        <v>694</v>
      </c>
      <c r="H553" s="175" t="s">
        <v>695</v>
      </c>
      <c r="I553" s="175" t="s">
        <v>696</v>
      </c>
      <c r="J553" s="175" t="s">
        <v>697</v>
      </c>
      <c r="K553" s="175" t="s">
        <v>698</v>
      </c>
      <c r="L553" s="105"/>
      <c r="M553" s="8"/>
      <c r="N553" s="270"/>
    </row>
    <row r="554" spans="1:14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  <c r="N554" s="270"/>
    </row>
    <row r="555" spans="1:14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>
        <v>1269889.5561044861</v>
      </c>
      <c r="G556" s="18">
        <v>823343.79929017602</v>
      </c>
      <c r="H556" s="18">
        <v>369611.54986371379</v>
      </c>
      <c r="I556" s="18">
        <v>52489.69</v>
      </c>
      <c r="J556" s="18">
        <v>872.41</v>
      </c>
      <c r="K556" s="18">
        <v>0</v>
      </c>
      <c r="L556" s="87">
        <f>SUM(F556:K556)</f>
        <v>2516207.0052583762</v>
      </c>
      <c r="M556" s="8"/>
      <c r="N556" s="270"/>
    </row>
    <row r="557" spans="1:14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>
        <v>607197.93070982385</v>
      </c>
      <c r="G557" s="18">
        <v>395100.32224304375</v>
      </c>
      <c r="H557" s="18">
        <v>219953.04603066438</v>
      </c>
      <c r="I557" s="18">
        <v>4013.5800000000004</v>
      </c>
      <c r="J557" s="18">
        <v>1977.74</v>
      </c>
      <c r="K557" s="18">
        <v>0</v>
      </c>
      <c r="L557" s="87">
        <f>SUM(F557:K557)</f>
        <v>1228242.6189835321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>
        <v>539062.34318568988</v>
      </c>
      <c r="G558" s="18">
        <v>297194.59846678021</v>
      </c>
      <c r="H558" s="18">
        <v>974393.83410562179</v>
      </c>
      <c r="I558" s="18">
        <v>5700.4499999999989</v>
      </c>
      <c r="J558" s="18">
        <v>528.21</v>
      </c>
      <c r="K558" s="18">
        <v>0</v>
      </c>
      <c r="L558" s="87">
        <f>SUM(F558:K558)</f>
        <v>1816879.4357580917</v>
      </c>
      <c r="M558" s="8"/>
      <c r="N558" s="270"/>
    </row>
    <row r="559" spans="1:14" s="3" customFormat="1" ht="12" customHeight="1" thickTop="1" x14ac:dyDescent="0.15">
      <c r="A559" s="138" t="s">
        <v>63</v>
      </c>
      <c r="B559" s="106">
        <v>22</v>
      </c>
      <c r="C559" s="193">
        <v>4</v>
      </c>
      <c r="D559" s="194" t="s">
        <v>433</v>
      </c>
      <c r="E559" s="193"/>
      <c r="F559" s="107">
        <f t="shared" ref="F559:L559" si="44">SUM(F556:F558)</f>
        <v>2416149.8299999996</v>
      </c>
      <c r="G559" s="107">
        <f t="shared" si="44"/>
        <v>1515638.72</v>
      </c>
      <c r="H559" s="107">
        <f t="shared" si="44"/>
        <v>1563958.43</v>
      </c>
      <c r="I559" s="107">
        <f t="shared" si="44"/>
        <v>62203.72</v>
      </c>
      <c r="J559" s="107">
        <f t="shared" si="44"/>
        <v>3378.36</v>
      </c>
      <c r="K559" s="107">
        <f t="shared" si="44"/>
        <v>0</v>
      </c>
      <c r="L559" s="88">
        <f t="shared" si="44"/>
        <v>5561329.0599999996</v>
      </c>
      <c r="M559" s="8"/>
      <c r="N559" s="270"/>
    </row>
    <row r="560" spans="1:14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>
        <v>34490</v>
      </c>
      <c r="G561" s="18">
        <v>29415.699999999997</v>
      </c>
      <c r="H561" s="18">
        <v>0</v>
      </c>
      <c r="I561" s="18">
        <v>380.6</v>
      </c>
      <c r="J561" s="18">
        <v>0</v>
      </c>
      <c r="K561" s="18">
        <v>0</v>
      </c>
      <c r="L561" s="87">
        <f>SUM(F561:K561)</f>
        <v>64286.299999999996</v>
      </c>
      <c r="M561" s="8"/>
      <c r="N561" s="270"/>
    </row>
    <row r="562" spans="1:14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>
        <v>34899</v>
      </c>
      <c r="G562" s="18">
        <v>21146.36</v>
      </c>
      <c r="H562" s="18">
        <v>0</v>
      </c>
      <c r="I562" s="18">
        <v>168.65</v>
      </c>
      <c r="J562" s="18">
        <v>0</v>
      </c>
      <c r="K562" s="18">
        <v>0</v>
      </c>
      <c r="L562" s="87">
        <f>SUM(F562:K562)</f>
        <v>56214.01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>
        <v>53105</v>
      </c>
      <c r="G563" s="18">
        <v>25874.29</v>
      </c>
      <c r="H563" s="18">
        <v>0</v>
      </c>
      <c r="I563" s="18">
        <v>1835.32</v>
      </c>
      <c r="J563" s="18">
        <v>0</v>
      </c>
      <c r="K563" s="18">
        <v>0</v>
      </c>
      <c r="L563" s="87">
        <f>SUM(F563:K563)</f>
        <v>80814.610000000015</v>
      </c>
      <c r="M563" s="8"/>
      <c r="N563" s="270"/>
    </row>
    <row r="564" spans="1:14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4" t="s">
        <v>433</v>
      </c>
      <c r="E564" s="106"/>
      <c r="F564" s="88">
        <f t="shared" ref="F564:L564" si="45">SUM(F561:F563)</f>
        <v>122494</v>
      </c>
      <c r="G564" s="88">
        <f t="shared" si="45"/>
        <v>76436.350000000006</v>
      </c>
      <c r="H564" s="88">
        <f t="shared" si="45"/>
        <v>0</v>
      </c>
      <c r="I564" s="88">
        <f t="shared" si="45"/>
        <v>2384.5699999999997</v>
      </c>
      <c r="J564" s="88">
        <f t="shared" si="45"/>
        <v>0</v>
      </c>
      <c r="K564" s="88">
        <f t="shared" si="45"/>
        <v>0</v>
      </c>
      <c r="L564" s="88">
        <f t="shared" si="45"/>
        <v>201314.92</v>
      </c>
      <c r="M564" s="8"/>
      <c r="N564" s="270"/>
    </row>
    <row r="565" spans="1:14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>
        <v>0</v>
      </c>
      <c r="G566" s="18">
        <v>0</v>
      </c>
      <c r="H566" s="18">
        <v>2907.88</v>
      </c>
      <c r="I566" s="18">
        <v>3313.63</v>
      </c>
      <c r="J566" s="18">
        <v>0</v>
      </c>
      <c r="K566" s="18">
        <v>0</v>
      </c>
      <c r="L566" s="87">
        <f>SUM(F566:K566)</f>
        <v>6221.51</v>
      </c>
      <c r="M566" s="8"/>
      <c r="N566" s="270"/>
    </row>
    <row r="567" spans="1:14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>
        <v>0</v>
      </c>
      <c r="G567" s="18">
        <v>0</v>
      </c>
      <c r="H567" s="18">
        <v>4719.45</v>
      </c>
      <c r="I567" s="18">
        <v>980.8</v>
      </c>
      <c r="J567" s="18">
        <v>0</v>
      </c>
      <c r="K567" s="18">
        <v>0</v>
      </c>
      <c r="L567" s="87">
        <f>SUM(F567:K567)</f>
        <v>5700.25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" customHeight="1" thickTop="1" thickBot="1" x14ac:dyDescent="0.2">
      <c r="A569" s="129" t="s">
        <v>67</v>
      </c>
      <c r="B569" s="189">
        <v>22</v>
      </c>
      <c r="C569" s="189">
        <v>12</v>
      </c>
      <c r="D569" s="195" t="s">
        <v>433</v>
      </c>
      <c r="E569" s="189"/>
      <c r="F569" s="191">
        <f>SUM(F566:F568)</f>
        <v>0</v>
      </c>
      <c r="G569" s="191">
        <f t="shared" ref="G569:L569" si="46">SUM(G566:G568)</f>
        <v>0</v>
      </c>
      <c r="H569" s="191">
        <f t="shared" si="46"/>
        <v>7627.33</v>
      </c>
      <c r="I569" s="191">
        <f t="shared" si="46"/>
        <v>4294.43</v>
      </c>
      <c r="J569" s="191">
        <f t="shared" si="46"/>
        <v>0</v>
      </c>
      <c r="K569" s="191">
        <f t="shared" si="46"/>
        <v>0</v>
      </c>
      <c r="L569" s="191">
        <f t="shared" si="46"/>
        <v>11921.76</v>
      </c>
      <c r="M569" s="8"/>
      <c r="N569" s="270"/>
    </row>
    <row r="570" spans="1:14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6" t="s">
        <v>433</v>
      </c>
      <c r="E570" s="106"/>
      <c r="F570" s="88">
        <f>F559+F564+F569</f>
        <v>2538643.8299999996</v>
      </c>
      <c r="G570" s="88">
        <f t="shared" ref="G570:L570" si="47">G559+G564+G569</f>
        <v>1592075.07</v>
      </c>
      <c r="H570" s="88">
        <f t="shared" si="47"/>
        <v>1571585.76</v>
      </c>
      <c r="I570" s="88">
        <f t="shared" si="47"/>
        <v>68882.720000000001</v>
      </c>
      <c r="J570" s="88">
        <f t="shared" si="47"/>
        <v>3378.36</v>
      </c>
      <c r="K570" s="88">
        <f t="shared" si="47"/>
        <v>0</v>
      </c>
      <c r="L570" s="88">
        <f t="shared" si="47"/>
        <v>5774565.7399999993</v>
      </c>
      <c r="M570" s="8"/>
      <c r="N570" s="270"/>
    </row>
    <row r="571" spans="1:14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  <c r="N571" s="270"/>
    </row>
    <row r="572" spans="1:14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>
        <v>0</v>
      </c>
      <c r="G574" s="18">
        <v>0</v>
      </c>
      <c r="H574" s="18">
        <v>0</v>
      </c>
      <c r="I574" s="86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>
        <v>0</v>
      </c>
      <c r="I576" s="86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273">
        <v>26876</v>
      </c>
      <c r="G578" s="273">
        <v>0</v>
      </c>
      <c r="H578" s="273">
        <v>20419.080000000002</v>
      </c>
      <c r="I578" s="86">
        <f t="shared" si="48"/>
        <v>47295.08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>
        <v>0</v>
      </c>
      <c r="G579" s="18">
        <v>0</v>
      </c>
      <c r="H579" s="18">
        <v>0</v>
      </c>
      <c r="I579" s="86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4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274">
        <v>232358.12599659286</v>
      </c>
      <c r="G581" s="274">
        <v>172602.3046507666</v>
      </c>
      <c r="H581" s="274">
        <v>962877.47935264057</v>
      </c>
      <c r="I581" s="86">
        <f t="shared" si="48"/>
        <v>1367837.9100000001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274">
        <v>0</v>
      </c>
      <c r="G582" s="274">
        <v>0</v>
      </c>
      <c r="H582" s="274">
        <v>0</v>
      </c>
      <c r="I582" s="86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274">
        <v>0</v>
      </c>
      <c r="G583" s="274">
        <v>0</v>
      </c>
      <c r="H583" s="274">
        <v>17708.84</v>
      </c>
      <c r="I583" s="86">
        <f t="shared" si="48"/>
        <v>17708.84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>
        <v>0</v>
      </c>
      <c r="G584" s="18">
        <v>0</v>
      </c>
      <c r="H584" s="18">
        <v>0</v>
      </c>
      <c r="I584" s="86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/>
      <c r="G586" s="18"/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1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  <c r="N587" s="270"/>
    </row>
    <row r="588" spans="1:14" s="3" customFormat="1" ht="12" customHeight="1" x14ac:dyDescent="0.15">
      <c r="A588" s="145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  <c r="N589" s="270"/>
    </row>
    <row r="590" spans="1:14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272">
        <v>202786.74269733106</v>
      </c>
      <c r="I590" s="272">
        <v>106317.83147643384</v>
      </c>
      <c r="J590" s="272">
        <v>137046.8058262351</v>
      </c>
      <c r="K590" s="103">
        <f t="shared" ref="K590:K596" si="49">SUM(H590:J590)</f>
        <v>446151.38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272">
        <v>204183.39726859741</v>
      </c>
      <c r="I591" s="272">
        <v>107050.07503123226</v>
      </c>
      <c r="J591" s="272">
        <v>136546.05770017038</v>
      </c>
      <c r="K591" s="103">
        <f t="shared" si="49"/>
        <v>447779.53000000009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272">
        <v>0</v>
      </c>
      <c r="I592" s="272">
        <v>0</v>
      </c>
      <c r="J592" s="272">
        <v>39826.800000000003</v>
      </c>
      <c r="K592" s="103">
        <f t="shared" si="49"/>
        <v>39826.800000000003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272">
        <v>0</v>
      </c>
      <c r="I593" s="272">
        <v>4143.3</v>
      </c>
      <c r="J593" s="272">
        <v>23787.200000000001</v>
      </c>
      <c r="K593" s="103">
        <f t="shared" si="49"/>
        <v>27930.5</v>
      </c>
      <c r="L593" s="24" t="s">
        <v>289</v>
      </c>
      <c r="M593" s="8"/>
      <c r="N593" s="270"/>
    </row>
    <row r="594" spans="1:14" s="3" customFormat="1" ht="12" customHeight="1" x14ac:dyDescent="0.15">
      <c r="A594" s="169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272">
        <v>610</v>
      </c>
      <c r="I594" s="272">
        <v>944.25</v>
      </c>
      <c r="J594" s="272">
        <v>3763.2</v>
      </c>
      <c r="K594" s="103">
        <f t="shared" si="49"/>
        <v>5317.45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272">
        <v>0</v>
      </c>
      <c r="I595" s="272">
        <v>0</v>
      </c>
      <c r="J595" s="272">
        <v>0</v>
      </c>
      <c r="K595" s="103">
        <f t="shared" si="49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272">
        <v>0</v>
      </c>
      <c r="I596" s="272">
        <v>0</v>
      </c>
      <c r="J596" s="272">
        <v>0</v>
      </c>
      <c r="K596" s="103">
        <f t="shared" si="49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6">
        <v>2700</v>
      </c>
      <c r="G597" s="147" t="s">
        <v>97</v>
      </c>
      <c r="H597" s="107">
        <f>SUM(H590:H596)</f>
        <v>407580.13996592851</v>
      </c>
      <c r="I597" s="107">
        <f>SUM(I590:I596)</f>
        <v>218455.45650766609</v>
      </c>
      <c r="J597" s="107">
        <f>SUM(J590:J596)</f>
        <v>340970.06352640549</v>
      </c>
      <c r="K597" s="107">
        <f>SUM(K590:K596)</f>
        <v>967005.66000000015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  <c r="N598" s="270"/>
    </row>
    <row r="599" spans="1:14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  <c r="N600" s="270"/>
    </row>
    <row r="601" spans="1:14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>
        <v>0</v>
      </c>
      <c r="I601" s="18">
        <v>0</v>
      </c>
      <c r="J601" s="18">
        <v>0</v>
      </c>
      <c r="K601" s="103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f>J210+J289</f>
        <v>29115.71</v>
      </c>
      <c r="I603" s="18">
        <f>J228+J308</f>
        <v>25821.49</v>
      </c>
      <c r="J603" s="18">
        <f>J246+J327</f>
        <v>69528.37</v>
      </c>
      <c r="K603" s="103">
        <f>SUM(H603:J603)</f>
        <v>124465.56999999999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7" t="s">
        <v>477</v>
      </c>
      <c r="G604" s="146">
        <v>700</v>
      </c>
      <c r="H604" s="107">
        <f>SUM(H601:H603)</f>
        <v>29115.71</v>
      </c>
      <c r="I604" s="107">
        <f>SUM(I601:I603)</f>
        <v>25821.49</v>
      </c>
      <c r="J604" s="107">
        <f>SUM(J601:J603)</f>
        <v>69528.37</v>
      </c>
      <c r="K604" s="107">
        <f>SUM(K601:K603)</f>
        <v>124465.56999999999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  <c r="N605" s="270"/>
    </row>
    <row r="606" spans="1:14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B608" s="104"/>
      <c r="C608" s="104"/>
      <c r="D608" s="104"/>
      <c r="E608" s="104"/>
      <c r="F608" s="175" t="s">
        <v>693</v>
      </c>
      <c r="G608" s="175" t="s">
        <v>694</v>
      </c>
      <c r="H608" s="175" t="s">
        <v>695</v>
      </c>
      <c r="I608" s="175" t="s">
        <v>696</v>
      </c>
      <c r="J608" s="175" t="s">
        <v>697</v>
      </c>
      <c r="K608" s="175" t="s">
        <v>698</v>
      </c>
      <c r="L608" s="87"/>
      <c r="M608" s="8"/>
      <c r="N608" s="270"/>
    </row>
    <row r="609" spans="1:14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37013.6826</v>
      </c>
      <c r="G610" s="18">
        <v>6440.5640999999996</v>
      </c>
      <c r="H610" s="18">
        <f>5000+277.2</f>
        <v>5277.2</v>
      </c>
      <c r="I610" s="18">
        <v>2618</v>
      </c>
      <c r="J610" s="18">
        <v>0</v>
      </c>
      <c r="K610" s="18">
        <v>0</v>
      </c>
      <c r="L610" s="87">
        <f>SUM(F610:K610)</f>
        <v>51349.4467</v>
      </c>
      <c r="M610" s="8"/>
      <c r="N610" s="270"/>
    </row>
    <row r="611" spans="1:14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31161.463799999998</v>
      </c>
      <c r="G611" s="18">
        <v>5396.1482999999998</v>
      </c>
      <c r="H611" s="18">
        <v>0</v>
      </c>
      <c r="I611" s="18">
        <v>434</v>
      </c>
      <c r="J611" s="18">
        <v>0</v>
      </c>
      <c r="K611" s="18">
        <v>0</v>
      </c>
      <c r="L611" s="87">
        <f>SUM(F611:K611)</f>
        <v>36991.612099999998</v>
      </c>
      <c r="M611" s="8"/>
      <c r="N611" s="270"/>
    </row>
    <row r="612" spans="1:14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32011.833600000002</v>
      </c>
      <c r="G612" s="18">
        <v>5570.2175999999999</v>
      </c>
      <c r="H612" s="18">
        <v>0</v>
      </c>
      <c r="I612" s="18">
        <v>448</v>
      </c>
      <c r="J612" s="18">
        <v>0</v>
      </c>
      <c r="K612" s="18">
        <v>0</v>
      </c>
      <c r="L612" s="87">
        <f>SUM(F612:K612)</f>
        <v>38030.051200000002</v>
      </c>
      <c r="M612" s="8"/>
      <c r="N612" s="270"/>
    </row>
    <row r="613" spans="1:14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50">SUM(F610:F612)</f>
        <v>100186.98</v>
      </c>
      <c r="G613" s="107">
        <f t="shared" si="50"/>
        <v>17406.93</v>
      </c>
      <c r="H613" s="107">
        <f t="shared" si="50"/>
        <v>5277.2</v>
      </c>
      <c r="I613" s="107">
        <f t="shared" si="50"/>
        <v>3500</v>
      </c>
      <c r="J613" s="107">
        <f t="shared" si="50"/>
        <v>0</v>
      </c>
      <c r="K613" s="107">
        <f t="shared" si="50"/>
        <v>0</v>
      </c>
      <c r="L613" s="88">
        <f t="shared" si="50"/>
        <v>126371.11</v>
      </c>
      <c r="M613" s="8"/>
      <c r="N613" s="270"/>
    </row>
    <row r="614" spans="1:14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4" s="3" customFormat="1" ht="12" customHeight="1" x14ac:dyDescent="0.15">
      <c r="A615" s="96"/>
      <c r="B615" s="104"/>
      <c r="C615" s="104"/>
      <c r="D615" s="104"/>
      <c r="E615" s="104"/>
      <c r="F615" s="148" t="s">
        <v>53</v>
      </c>
      <c r="G615" s="149"/>
      <c r="H615" s="149"/>
      <c r="I615" s="148" t="s">
        <v>53</v>
      </c>
      <c r="J615" s="108"/>
      <c r="K615" s="108"/>
      <c r="L615" s="108"/>
      <c r="M615" s="8"/>
    </row>
    <row r="616" spans="1:14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387606.74</v>
      </c>
      <c r="H616" s="108">
        <f>SUM(F51)</f>
        <v>387606.74</v>
      </c>
      <c r="I616" s="120" t="s">
        <v>890</v>
      </c>
      <c r="J616" s="108">
        <f>G616-H616</f>
        <v>0</v>
      </c>
      <c r="K616" s="108"/>
      <c r="L616" s="108"/>
      <c r="M616" s="8"/>
    </row>
    <row r="617" spans="1:14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65883.02</v>
      </c>
      <c r="H617" s="108">
        <f>SUM(G51)</f>
        <v>65883.02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399853.21</v>
      </c>
      <c r="H618" s="108">
        <f>SUM(H51)</f>
        <v>399853.20999999996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0</v>
      </c>
      <c r="H619" s="108">
        <f>SUM(I51)</f>
        <v>0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129515.23</v>
      </c>
      <c r="H620" s="108">
        <f>SUM(J51)</f>
        <v>129515.23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885</v>
      </c>
      <c r="G621" s="108">
        <f>F50</f>
        <v>0</v>
      </c>
      <c r="H621" s="108">
        <f>F475</f>
        <v>0</v>
      </c>
      <c r="I621" s="120" t="s">
        <v>101</v>
      </c>
      <c r="J621" s="108">
        <f t="shared" ref="J621:J654" si="51"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18"/>
      <c r="D622" s="118"/>
      <c r="E622" s="118"/>
      <c r="F622" s="118" t="s">
        <v>886</v>
      </c>
      <c r="G622" s="108">
        <f>G50</f>
        <v>14148.35</v>
      </c>
      <c r="H622" s="108">
        <f>G475</f>
        <v>14148.349999999977</v>
      </c>
      <c r="I622" s="120" t="s">
        <v>102</v>
      </c>
      <c r="J622" s="108">
        <f t="shared" si="51"/>
        <v>2.3646862246096134E-11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04"/>
      <c r="D623" s="104"/>
      <c r="E623" s="104"/>
      <c r="F623" s="119" t="s">
        <v>887</v>
      </c>
      <c r="G623" s="108">
        <f>H50</f>
        <v>61722.03</v>
      </c>
      <c r="H623" s="108">
        <f>H475</f>
        <v>61722.030000000028</v>
      </c>
      <c r="I623" s="120" t="s">
        <v>103</v>
      </c>
      <c r="J623" s="108">
        <f t="shared" si="51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888</v>
      </c>
      <c r="G624" s="108">
        <f>I50</f>
        <v>-601718.16</v>
      </c>
      <c r="H624" s="108">
        <f>I475</f>
        <v>-601718.16</v>
      </c>
      <c r="I624" s="120" t="s">
        <v>104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889</v>
      </c>
      <c r="G625" s="108">
        <f>J50</f>
        <v>128995.20999999999</v>
      </c>
      <c r="H625" s="108">
        <f>J475</f>
        <v>128995.21000000002</v>
      </c>
      <c r="I625" s="139" t="s">
        <v>105</v>
      </c>
      <c r="J625" s="108">
        <f t="shared" si="51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24732400.73</v>
      </c>
      <c r="H626" s="103">
        <f>SUM(F467)</f>
        <v>24732400.73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728647.14</v>
      </c>
      <c r="H627" s="103">
        <f>SUM(G467)</f>
        <v>728647.14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1198290.3299999998</v>
      </c>
      <c r="H628" s="103">
        <f>SUM(H467)</f>
        <v>1198290.3299999998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77894.080000000002</v>
      </c>
      <c r="H629" s="103">
        <f>SUM(I467)</f>
        <v>77894.080000000002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152620.69</v>
      </c>
      <c r="H630" s="103">
        <f>SUM(J467)</f>
        <v>152620.69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24732400.729999997</v>
      </c>
      <c r="H631" s="103">
        <f>SUM(F471)</f>
        <v>24732400.729999997</v>
      </c>
      <c r="I631" s="139" t="s">
        <v>111</v>
      </c>
      <c r="J631" s="108">
        <f t="shared" si="51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1183047.2099999997</v>
      </c>
      <c r="H632" s="103">
        <f>SUM(H471)</f>
        <v>1183047.2099999997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37529.5</v>
      </c>
      <c r="H633" s="103">
        <f>I368</f>
        <v>37529.5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7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717835.53</v>
      </c>
      <c r="H634" s="103">
        <f>SUM(G471)</f>
        <v>717835.53</v>
      </c>
      <c r="I634" s="139" t="s">
        <v>114</v>
      </c>
      <c r="J634" s="108">
        <f t="shared" si="51"/>
        <v>0</v>
      </c>
      <c r="K634" s="84"/>
      <c r="L634" s="87"/>
      <c r="M634" s="166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1147003.56</v>
      </c>
      <c r="H635" s="103">
        <f>SUM(I471)</f>
        <v>1147003.56</v>
      </c>
      <c r="I635" s="139" t="s">
        <v>116</v>
      </c>
      <c r="J635" s="108">
        <f t="shared" si="51"/>
        <v>0</v>
      </c>
      <c r="K635" s="84"/>
      <c r="L635" s="87"/>
      <c r="M635" s="166"/>
    </row>
    <row r="636" spans="1:13" s="3" customFormat="1" ht="12" customHeight="1" x14ac:dyDescent="0.15">
      <c r="A636" s="159"/>
      <c r="B636" s="160"/>
      <c r="C636" s="160"/>
      <c r="D636" s="160"/>
      <c r="E636" s="160"/>
      <c r="F636" s="161" t="s">
        <v>478</v>
      </c>
      <c r="G636" s="149">
        <f>SUM(L407)</f>
        <v>152620.69</v>
      </c>
      <c r="H636" s="162">
        <f>SUM(J467)</f>
        <v>152620.69</v>
      </c>
      <c r="I636" s="163" t="s">
        <v>110</v>
      </c>
      <c r="J636" s="149">
        <f t="shared" si="51"/>
        <v>0</v>
      </c>
      <c r="K636" s="164"/>
      <c r="L636" s="165"/>
      <c r="M636" s="8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479</v>
      </c>
      <c r="G637" s="149">
        <f>SUM(L433)</f>
        <v>144311.82</v>
      </c>
      <c r="H637" s="162">
        <f>SUM(J471)</f>
        <v>144311.82</v>
      </c>
      <c r="I637" s="163" t="s">
        <v>117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0</v>
      </c>
      <c r="H638" s="103">
        <f>SUM(F460)</f>
        <v>0</v>
      </c>
      <c r="I638" s="139" t="s">
        <v>857</v>
      </c>
      <c r="J638" s="108">
        <f t="shared" si="51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0</v>
      </c>
      <c r="H639" s="103">
        <f>SUM(G460)</f>
        <v>0</v>
      </c>
      <c r="I639" s="139" t="s">
        <v>858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129515.23</v>
      </c>
      <c r="H640" s="103">
        <f>SUM(H460)</f>
        <v>129515.23</v>
      </c>
      <c r="I640" s="139" t="s">
        <v>859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129515.23</v>
      </c>
      <c r="H641" s="103">
        <f>SUM(I460)</f>
        <v>129515.23</v>
      </c>
      <c r="I641" s="139" t="s">
        <v>860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0</v>
      </c>
      <c r="H643" s="103">
        <f>H407</f>
        <v>0</v>
      </c>
      <c r="I643" s="139" t="s">
        <v>481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0</v>
      </c>
      <c r="H644" s="103">
        <f>G407</f>
        <v>0</v>
      </c>
      <c r="I644" s="139" t="s">
        <v>482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152620.69</v>
      </c>
      <c r="H645" s="103">
        <f>L407</f>
        <v>152620.69</v>
      </c>
      <c r="I645" s="139" t="s">
        <v>478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967005.66000000015</v>
      </c>
      <c r="H646" s="103">
        <f>L207+L225+L243</f>
        <v>967005.66</v>
      </c>
      <c r="I646" s="139" t="s">
        <v>397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124465.56999999999</v>
      </c>
      <c r="H647" s="103">
        <f>(J256+J337)-(J254+J335)</f>
        <v>124465.57</v>
      </c>
      <c r="I647" s="139" t="s">
        <v>703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407580.13996592845</v>
      </c>
      <c r="H648" s="103">
        <f>H597</f>
        <v>407580.13996592851</v>
      </c>
      <c r="I648" s="139" t="s">
        <v>389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218455.45650766612</v>
      </c>
      <c r="H649" s="103">
        <f>I597</f>
        <v>218455.45650766609</v>
      </c>
      <c r="I649" s="139" t="s">
        <v>390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340970.06352640549</v>
      </c>
      <c r="H650" s="103">
        <f>J597</f>
        <v>340970.06352640549</v>
      </c>
      <c r="I650" s="139" t="s">
        <v>391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10000</v>
      </c>
      <c r="H651" s="103">
        <f>K262+K344</f>
        <v>10000</v>
      </c>
      <c r="I651" s="139" t="s">
        <v>398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0</v>
      </c>
      <c r="H652" s="103">
        <f>K263</f>
        <v>0</v>
      </c>
      <c r="I652" s="139" t="s">
        <v>399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77762</v>
      </c>
      <c r="H653" s="103">
        <f>K264+K345</f>
        <v>77762</v>
      </c>
      <c r="I653" s="139" t="s">
        <v>400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0</v>
      </c>
      <c r="H654" s="103">
        <f>K265+K346</f>
        <v>0</v>
      </c>
      <c r="I654" s="139" t="s">
        <v>401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10028083.191265926</v>
      </c>
      <c r="G659" s="19">
        <f>(L228+L308+L358)</f>
        <v>6058455.9884076649</v>
      </c>
      <c r="H659" s="19">
        <f>(L246+L327+L359)</f>
        <v>8490469.2903264072</v>
      </c>
      <c r="I659" s="19">
        <f>SUM(F659:H659)</f>
        <v>24577008.469999999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118465.35062631956</v>
      </c>
      <c r="G660" s="19">
        <f>(L358/IF(SUM(L357:L359)=0,1,SUM(L357:L359))*(SUM(G96:G109)))</f>
        <v>86448.54334260468</v>
      </c>
      <c r="H660" s="19">
        <f>(L359/IF(SUM(L357:L359)=0,1,SUM(L357:L359))*(SUM(G96:G109)))</f>
        <v>89237.206031075795</v>
      </c>
      <c r="I660" s="19">
        <f>SUM(F660:H660)</f>
        <v>294151.10000000003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412857.33996592846</v>
      </c>
      <c r="G661" s="19">
        <f>(L225+L305)-(J225+J305)</f>
        <v>218455.45650766612</v>
      </c>
      <c r="H661" s="19">
        <f>(L243+L324)-(J243+J324)</f>
        <v>340970.06352640549</v>
      </c>
      <c r="I661" s="19">
        <f>SUM(F661:H661)</f>
        <v>972282.8600000001</v>
      </c>
      <c r="J661"/>
      <c r="K661" s="13"/>
      <c r="L661" s="13"/>
      <c r="M661" s="8"/>
    </row>
    <row r="662" spans="1:13" s="3" customFormat="1" ht="12" customHeight="1" x14ac:dyDescent="0.15">
      <c r="A662" s="196" t="s">
        <v>129</v>
      </c>
      <c r="B662" s="167"/>
      <c r="C662" s="167"/>
      <c r="D662" s="167"/>
      <c r="E662" s="167"/>
      <c r="F662" s="197">
        <f>SUM(F574:F586)+SUM(H601:H603)+SUM(L610)</f>
        <v>339699.28269659285</v>
      </c>
      <c r="G662" s="197">
        <f>SUM(G574:G586)+SUM(I601:I603)+L611</f>
        <v>235415.40675076659</v>
      </c>
      <c r="H662" s="197">
        <f>SUM(H574:H586)+SUM(J601:J603)+L612</f>
        <v>1108563.8205526406</v>
      </c>
      <c r="I662" s="19">
        <f>SUM(F662:H662)</f>
        <v>1683678.51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9157061.2179770842</v>
      </c>
      <c r="G663" s="19">
        <f>G659-SUM(G660:G662)</f>
        <v>5518136.581806628</v>
      </c>
      <c r="H663" s="19">
        <f>H659-SUM(H660:H662)</f>
        <v>6951698.2002162859</v>
      </c>
      <c r="I663" s="19">
        <f>I659-SUM(I660:I662)</f>
        <v>21626896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5">
        <f>465.68+254.03</f>
        <v>719.71</v>
      </c>
      <c r="G664" s="246">
        <v>421.45</v>
      </c>
      <c r="H664" s="246">
        <v>526.04999999999995</v>
      </c>
      <c r="I664" s="19">
        <f>SUM(F664:H664)</f>
        <v>1667.21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12723.27</v>
      </c>
      <c r="G666" s="19">
        <f>ROUND(G663/G664,2)</f>
        <v>13093.22</v>
      </c>
      <c r="H666" s="19">
        <f>ROUND(H663/H664,2)</f>
        <v>13214.9</v>
      </c>
      <c r="I666" s="19">
        <f>ROUND(I663/I664,2)</f>
        <v>12971.91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6.54</v>
      </c>
      <c r="I669" s="19">
        <f>SUM(F669:H669)</f>
        <v>6.54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12723.27</v>
      </c>
      <c r="G671" s="19">
        <f>ROUND((G663+G668)/(G664+G669),2)</f>
        <v>13093.22</v>
      </c>
      <c r="H671" s="19">
        <f>ROUND((H663+H668)/(H664+H669),2)</f>
        <v>13052.63</v>
      </c>
      <c r="I671" s="19">
        <f>ROUND((I663+I668)/(I664+I669),2)</f>
        <v>12921.22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Somersworth</v>
      </c>
      <c r="C1" s="236" t="s">
        <v>839</v>
      </c>
    </row>
    <row r="2" spans="1:3" x14ac:dyDescent="0.2">
      <c r="A2" s="231"/>
      <c r="B2" s="230"/>
    </row>
    <row r="3" spans="1:3" x14ac:dyDescent="0.2">
      <c r="A3" s="281" t="s">
        <v>784</v>
      </c>
      <c r="B3" s="281"/>
      <c r="C3" s="281"/>
    </row>
    <row r="4" spans="1:3" x14ac:dyDescent="0.2">
      <c r="A4" s="234"/>
      <c r="B4" s="235" t="str">
        <f>'DOE25'!H1</f>
        <v>DOE 25  2012-2013</v>
      </c>
      <c r="C4" s="234"/>
    </row>
    <row r="5" spans="1:3" x14ac:dyDescent="0.2">
      <c r="A5" s="231"/>
      <c r="B5" s="230"/>
    </row>
    <row r="6" spans="1:3" x14ac:dyDescent="0.2">
      <c r="A6" s="225"/>
      <c r="B6" s="280" t="s">
        <v>783</v>
      </c>
      <c r="C6" s="280"/>
    </row>
    <row r="7" spans="1:3" x14ac:dyDescent="0.2">
      <c r="A7" s="237" t="s">
        <v>786</v>
      </c>
      <c r="B7" s="278" t="s">
        <v>782</v>
      </c>
      <c r="C7" s="279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'DOE25'!F196+'DOE25'!F214+'DOE25'!F232+'DOE25'!F275+'DOE25'!F294+'DOE25'!F313</f>
        <v>5200567.18</v>
      </c>
      <c r="C9" s="227">
        <f>'DOE25'!G196+'DOE25'!G214+'DOE25'!G232+'DOE25'!G275+'DOE25'!G294+'DOE25'!G313</f>
        <v>2760062.1699999995</v>
      </c>
    </row>
    <row r="10" spans="1:3" x14ac:dyDescent="0.2">
      <c r="A10" t="s">
        <v>779</v>
      </c>
      <c r="B10" s="238">
        <f>11927.5+4419677.2+185855.25</f>
        <v>4617459.95</v>
      </c>
      <c r="C10" s="238">
        <f>2155.55+2349697.17+52289.22+17328.73+15467.19+21459.95+45794.23+20610.5</f>
        <v>2524802.54</v>
      </c>
    </row>
    <row r="11" spans="1:3" x14ac:dyDescent="0.2">
      <c r="A11" t="s">
        <v>780</v>
      </c>
      <c r="B11" s="238">
        <f>137232.04+21807.2+87418.04-1200+12645</f>
        <v>257902.28000000003</v>
      </c>
      <c r="C11" s="238">
        <f>92167.29+3928.76+609.77+1485.01</f>
        <v>98190.829999999987</v>
      </c>
    </row>
    <row r="12" spans="1:3" x14ac:dyDescent="0.2">
      <c r="A12" t="s">
        <v>781</v>
      </c>
      <c r="B12" s="238">
        <f>3100+322104.95</f>
        <v>325204.95</v>
      </c>
      <c r="C12" s="238">
        <f>245.91+25298.33+5789.28+105735.28</f>
        <v>137068.79999999999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5200567.1800000006</v>
      </c>
      <c r="C13" s="229">
        <f>SUM(C10:C12)</f>
        <v>2760062.17</v>
      </c>
    </row>
    <row r="14" spans="1:3" x14ac:dyDescent="0.2">
      <c r="B14" s="228"/>
      <c r="C14" s="228"/>
    </row>
    <row r="15" spans="1:3" x14ac:dyDescent="0.2">
      <c r="B15" s="280" t="s">
        <v>783</v>
      </c>
      <c r="C15" s="280"/>
    </row>
    <row r="16" spans="1:3" x14ac:dyDescent="0.2">
      <c r="A16" s="237" t="s">
        <v>787</v>
      </c>
      <c r="B16" s="278" t="s">
        <v>707</v>
      </c>
      <c r="C16" s="279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'DOE25'!F197+'DOE25'!F215+'DOE25'!F233+'DOE25'!F276+'DOE25'!F295+'DOE25'!F314</f>
        <v>2538643.83</v>
      </c>
      <c r="C18" s="227">
        <f>'DOE25'!G197+'DOE25'!G215+'DOE25'!G233+'DOE25'!G276+'DOE25'!G295+'DOE25'!G314</f>
        <v>1592075.0699999998</v>
      </c>
    </row>
    <row r="19" spans="1:3" x14ac:dyDescent="0.2">
      <c r="A19" t="s">
        <v>779</v>
      </c>
      <c r="B19" s="238">
        <f>960310.1+122494</f>
        <v>1082804.1000000001</v>
      </c>
      <c r="C19" s="238">
        <f>512017.12+76436.35</f>
        <v>588453.47</v>
      </c>
    </row>
    <row r="20" spans="1:3" x14ac:dyDescent="0.2">
      <c r="A20" t="s">
        <v>780</v>
      </c>
      <c r="B20" s="238">
        <f>4425.25+202437.07+769830.32+94413.2+78379.78+215787.49</f>
        <v>1365273.1099999999</v>
      </c>
      <c r="C20" s="238">
        <f>2068.99+716.88+152131.74+643532.22+52543.14+13478.17+88904.82</f>
        <v>953375.96</v>
      </c>
    </row>
    <row r="21" spans="1:3" x14ac:dyDescent="0.2">
      <c r="A21" t="s">
        <v>781</v>
      </c>
      <c r="B21" s="238">
        <f>24590.1+35170.52+30806</f>
        <v>90566.62</v>
      </c>
      <c r="C21" s="238">
        <f>13967.15+22332.49+13946</f>
        <v>50245.64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2538643.83</v>
      </c>
      <c r="C22" s="229">
        <f>SUM(C19:C21)</f>
        <v>1592075.0699999998</v>
      </c>
    </row>
    <row r="23" spans="1:3" x14ac:dyDescent="0.2">
      <c r="B23" s="228"/>
      <c r="C23" s="228"/>
    </row>
    <row r="24" spans="1:3" x14ac:dyDescent="0.2">
      <c r="B24" s="280" t="s">
        <v>783</v>
      </c>
      <c r="C24" s="280"/>
    </row>
    <row r="25" spans="1:3" x14ac:dyDescent="0.2">
      <c r="A25" s="237" t="s">
        <v>788</v>
      </c>
      <c r="B25" s="278" t="s">
        <v>708</v>
      </c>
      <c r="C25" s="279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'DOE25'!F198+'DOE25'!F216+'DOE25'!F234+'DOE25'!F277+'DOE25'!F296+'DOE25'!F315</f>
        <v>464251.97</v>
      </c>
      <c r="C27" s="232">
        <f>'DOE25'!G198+'DOE25'!G216+'DOE25'!G234+'DOE25'!G277+'DOE25'!G296+'DOE25'!G315</f>
        <v>251616.28</v>
      </c>
    </row>
    <row r="28" spans="1:3" x14ac:dyDescent="0.2">
      <c r="A28" t="s">
        <v>779</v>
      </c>
      <c r="B28" s="238">
        <v>442681.88</v>
      </c>
      <c r="C28" s="238">
        <v>247567</v>
      </c>
    </row>
    <row r="29" spans="1:3" x14ac:dyDescent="0.2">
      <c r="A29" t="s">
        <v>780</v>
      </c>
      <c r="B29" s="238">
        <f>5891.8+1200+14478.29</f>
        <v>21570.09</v>
      </c>
      <c r="C29" s="238">
        <f>1172.28+2877</f>
        <v>4049.2799999999997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464251.97000000003</v>
      </c>
      <c r="C31" s="229">
        <f>SUM(C28:C30)</f>
        <v>251616.28</v>
      </c>
    </row>
    <row r="33" spans="1:3" x14ac:dyDescent="0.2">
      <c r="B33" s="280" t="s">
        <v>783</v>
      </c>
      <c r="C33" s="280"/>
    </row>
    <row r="34" spans="1:3" x14ac:dyDescent="0.2">
      <c r="A34" s="237" t="s">
        <v>789</v>
      </c>
      <c r="B34" s="278" t="s">
        <v>709</v>
      </c>
      <c r="C34" s="279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'DOE25'!F199+'DOE25'!F217+'DOE25'!F235+'DOE25'!F278+'DOE25'!F297+'DOE25'!F316</f>
        <v>269289.75</v>
      </c>
      <c r="C36" s="233">
        <f>'DOE25'!G199+'DOE25'!G217+'DOE25'!G235+'DOE25'!G278+'DOE25'!G297+'DOE25'!G316</f>
        <v>36927.06</v>
      </c>
    </row>
    <row r="37" spans="1:3" x14ac:dyDescent="0.2">
      <c r="A37" t="s">
        <v>779</v>
      </c>
      <c r="B37" s="238">
        <v>71288</v>
      </c>
      <c r="C37" s="238">
        <v>12525.58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f>17279+18298+162424.75</f>
        <v>198001.75</v>
      </c>
      <c r="C39" s="238">
        <f>2987.61+21413.87</f>
        <v>24401.48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269289.75</v>
      </c>
      <c r="C40" s="229">
        <f>SUM(C37:C39)</f>
        <v>36927.06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1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79"/>
    </row>
    <row r="2" spans="1:9" x14ac:dyDescent="0.2">
      <c r="A2" s="33" t="s">
        <v>717</v>
      </c>
      <c r="B2" s="263" t="str">
        <f>'DOE25'!A2</f>
        <v>Somersworth</v>
      </c>
      <c r="C2" s="179"/>
      <c r="D2" s="179" t="s">
        <v>792</v>
      </c>
      <c r="E2" s="179" t="s">
        <v>794</v>
      </c>
      <c r="F2" s="282" t="s">
        <v>821</v>
      </c>
      <c r="G2" s="283"/>
      <c r="H2" s="284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14615374.856699999</v>
      </c>
      <c r="D5" s="20">
        <f>SUM('DOE25'!L196:L199)+SUM('DOE25'!L214:L217)+SUM('DOE25'!L232:L235)-F5-G5</f>
        <v>14544528.946699999</v>
      </c>
      <c r="E5" s="241"/>
      <c r="F5" s="253">
        <f>SUM('DOE25'!J196:J199)+SUM('DOE25'!J214:J217)+SUM('DOE25'!J232:J235)</f>
        <v>67382.5</v>
      </c>
      <c r="G5" s="53">
        <f>SUM('DOE25'!K196:K199)+SUM('DOE25'!K214:K217)+SUM('DOE25'!K232:K235)</f>
        <v>3463.41</v>
      </c>
      <c r="H5" s="257"/>
    </row>
    <row r="6" spans="1:9" x14ac:dyDescent="0.2">
      <c r="A6" s="32">
        <v>2100</v>
      </c>
      <c r="B6" t="s">
        <v>801</v>
      </c>
      <c r="C6" s="243">
        <f t="shared" si="0"/>
        <v>1716894.6233000001</v>
      </c>
      <c r="D6" s="20">
        <f>'DOE25'!L201+'DOE25'!L219+'DOE25'!L237-F6-G6</f>
        <v>1703383.4733000002</v>
      </c>
      <c r="E6" s="241"/>
      <c r="F6" s="253">
        <f>'DOE25'!J201+'DOE25'!J219+'DOE25'!J237</f>
        <v>1229</v>
      </c>
      <c r="G6" s="53">
        <f>'DOE25'!K201+'DOE25'!K219+'DOE25'!K237</f>
        <v>12282.150000000001</v>
      </c>
      <c r="H6" s="257"/>
    </row>
    <row r="7" spans="1:9" x14ac:dyDescent="0.2">
      <c r="A7" s="32">
        <v>2200</v>
      </c>
      <c r="B7" t="s">
        <v>834</v>
      </c>
      <c r="C7" s="243">
        <f t="shared" si="0"/>
        <v>276527.46999999997</v>
      </c>
      <c r="D7" s="20">
        <f>'DOE25'!L202+'DOE25'!L220+'DOE25'!L238-F7-G7</f>
        <v>269436.89999999997</v>
      </c>
      <c r="E7" s="241"/>
      <c r="F7" s="253">
        <f>'DOE25'!J202+'DOE25'!J220+'DOE25'!J238</f>
        <v>7090.57</v>
      </c>
      <c r="G7" s="53">
        <f>'DOE25'!K202+'DOE25'!K220+'DOE25'!K238</f>
        <v>0</v>
      </c>
      <c r="H7" s="257"/>
    </row>
    <row r="8" spans="1:9" x14ac:dyDescent="0.2">
      <c r="A8" s="32">
        <v>2300</v>
      </c>
      <c r="B8" t="s">
        <v>802</v>
      </c>
      <c r="C8" s="243">
        <f t="shared" si="0"/>
        <v>681935.09626902046</v>
      </c>
      <c r="D8" s="241"/>
      <c r="E8" s="20">
        <f>'DOE25'!L203+'DOE25'!L221+'DOE25'!L239-F8-G8-D9-D11</f>
        <v>676820.3862690205</v>
      </c>
      <c r="F8" s="253">
        <f>'DOE25'!J203+'DOE25'!J221+'DOE25'!J239</f>
        <v>0</v>
      </c>
      <c r="G8" s="53">
        <f>'DOE25'!K203+'DOE25'!K221+'DOE25'!K239</f>
        <v>5114.71</v>
      </c>
      <c r="H8" s="257"/>
    </row>
    <row r="9" spans="1:9" x14ac:dyDescent="0.2">
      <c r="A9" s="32">
        <v>2310</v>
      </c>
      <c r="B9" t="s">
        <v>818</v>
      </c>
      <c r="C9" s="243">
        <f t="shared" si="0"/>
        <v>22495.61</v>
      </c>
      <c r="D9" s="242">
        <f>18545.44+3950.17</f>
        <v>22495.61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7728</v>
      </c>
      <c r="D10" s="241"/>
      <c r="E10" s="242">
        <v>7728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265616.99373097974</v>
      </c>
      <c r="D11" s="242">
        <v>265616.99373097974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1370412.63</v>
      </c>
      <c r="D12" s="20">
        <f>'DOE25'!L204+'DOE25'!L222+'DOE25'!L240-F12-G12</f>
        <v>1358316.18</v>
      </c>
      <c r="E12" s="241"/>
      <c r="F12" s="253">
        <f>'DOE25'!J204+'DOE25'!J222+'DOE25'!J240</f>
        <v>4236.32</v>
      </c>
      <c r="G12" s="53">
        <f>'DOE25'!K204+'DOE25'!K222+'DOE25'!K240</f>
        <v>7860.13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'DOE25'!L205+'DOE25'!L223+'DOE25'!L241-F13-G13</f>
        <v>0</v>
      </c>
      <c r="F13" s="253">
        <f>'DOE25'!J205+'DOE25'!J223+'DOE25'!J241</f>
        <v>0</v>
      </c>
      <c r="G13" s="53">
        <f>'DOE25'!K205+'DOE25'!K223+'DOE25'!K241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2369673.6799999997</v>
      </c>
      <c r="D14" s="20">
        <f>'DOE25'!L206+'DOE25'!L224+'DOE25'!L242-F14-G14</f>
        <v>2368173.6799999997</v>
      </c>
      <c r="E14" s="241"/>
      <c r="F14" s="253">
        <f>'DOE25'!J206+'DOE25'!J224+'DOE25'!J242</f>
        <v>1500</v>
      </c>
      <c r="G14" s="53">
        <f>'DOE25'!K206+'DOE25'!K224+'DOE25'!K242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967005.66</v>
      </c>
      <c r="D15" s="20">
        <f>'DOE25'!L207+'DOE25'!L225+'DOE25'!L243-F15-G15</f>
        <v>967005.66</v>
      </c>
      <c r="E15" s="241"/>
      <c r="F15" s="253">
        <f>'DOE25'!J207+'DOE25'!J225+'DOE25'!J243</f>
        <v>0</v>
      </c>
      <c r="G15" s="53">
        <f>'DOE25'!K207+'DOE25'!K225+'DOE25'!K243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390189.11</v>
      </c>
      <c r="D16" s="241"/>
      <c r="E16" s="20">
        <f>'DOE25'!L208+'DOE25'!L226+'DOE25'!L244-F16-G16</f>
        <v>390189.11</v>
      </c>
      <c r="F16" s="253">
        <f>'DOE25'!J208+'DOE25'!J226+'DOE25'!J244</f>
        <v>0</v>
      </c>
      <c r="G16" s="53">
        <f>'DOE25'!K208+'DOE25'!K226+'DOE25'!K244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'DOE25'!L250-F17-G17</f>
        <v>0</v>
      </c>
      <c r="E17" s="241"/>
      <c r="F17" s="253">
        <f>'DOE25'!J250</f>
        <v>0</v>
      </c>
      <c r="G17" s="53">
        <f>'DOE25'!K250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'DOE25'!L251-F18-G18</f>
        <v>0</v>
      </c>
      <c r="E18" s="241"/>
      <c r="F18" s="253">
        <f>'DOE25'!J251</f>
        <v>0</v>
      </c>
      <c r="G18" s="53">
        <f>'DOE25'!K251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'DOE25'!L252-F19-G19</f>
        <v>0</v>
      </c>
      <c r="E19" s="241"/>
      <c r="F19" s="253">
        <f>'DOE25'!J252</f>
        <v>0</v>
      </c>
      <c r="G19" s="53">
        <f>'DOE25'!K252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'DOE25'!L254+'DOE25'!L335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1968513</v>
      </c>
      <c r="D25" s="241"/>
      <c r="E25" s="241"/>
      <c r="F25" s="256"/>
      <c r="G25" s="254"/>
      <c r="H25" s="255">
        <f>'DOE25'!L259+'DOE25'!L260+'DOE25'!L340+'DOE25'!L341</f>
        <v>1968513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717835.53</v>
      </c>
      <c r="D29" s="20">
        <f>'DOE25'!L357+'DOE25'!L358+'DOE25'!L359-'DOE25'!I366-F29-G29</f>
        <v>717835.53</v>
      </c>
      <c r="E29" s="241"/>
      <c r="F29" s="253">
        <f>'DOE25'!J357+'DOE25'!J358+'DOE25'!J359</f>
        <v>0</v>
      </c>
      <c r="G29" s="53">
        <f>'DOE25'!K357+'DOE25'!K358+'DOE25'!K359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1183047.2099999997</v>
      </c>
      <c r="D31" s="20">
        <f>'DOE25'!L289+'DOE25'!L308+'DOE25'!L327+'DOE25'!L332+'DOE25'!L333+'DOE25'!L334-F31-G31</f>
        <v>1098757.2199999997</v>
      </c>
      <c r="E31" s="241"/>
      <c r="F31" s="253">
        <f>'DOE25'!J289+'DOE25'!J308+'DOE25'!J327+'DOE25'!J332+'DOE25'!J333+'DOE25'!J334</f>
        <v>43027.18</v>
      </c>
      <c r="G31" s="53">
        <f>'DOE25'!K289+'DOE25'!K308+'DOE25'!K327+'DOE25'!K332+'DOE25'!K333+'DOE25'!K334</f>
        <v>41262.81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23315550.19373098</v>
      </c>
      <c r="E33" s="244">
        <f>SUM(E5:E31)</f>
        <v>1074737.4962690205</v>
      </c>
      <c r="F33" s="244">
        <f>SUM(F5:F31)</f>
        <v>124465.57</v>
      </c>
      <c r="G33" s="244">
        <f>SUM(G5:G31)</f>
        <v>69983.209999999992</v>
      </c>
      <c r="H33" s="244">
        <f>SUM(H5:H31)</f>
        <v>1968513</v>
      </c>
    </row>
    <row r="35" spans="2:8" ht="12" thickBot="1" x14ac:dyDescent="0.25">
      <c r="B35" s="251" t="s">
        <v>847</v>
      </c>
      <c r="D35" s="252">
        <f>E33</f>
        <v>1074737.4962690205</v>
      </c>
      <c r="E35" s="247"/>
    </row>
    <row r="36" spans="2:8" ht="12" thickTop="1" x14ac:dyDescent="0.2">
      <c r="B36" t="s">
        <v>815</v>
      </c>
      <c r="D36" s="20">
        <f>D33</f>
        <v>23315550.19373098</v>
      </c>
    </row>
    <row r="38" spans="2:8" x14ac:dyDescent="0.2">
      <c r="B38" s="185" t="s">
        <v>903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Somersworth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324952.13</v>
      </c>
      <c r="D11" s="94">
        <f>'DOE25'!G12</f>
        <v>34950.160000000003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28353.38</v>
      </c>
      <c r="E12" s="94">
        <f>'DOE25'!H13</f>
        <v>0</v>
      </c>
      <c r="F12" s="94">
        <f>'DOE25'!I13</f>
        <v>0</v>
      </c>
      <c r="G12" s="94">
        <f>'DOE25'!J13</f>
        <v>129515.23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62654.61</v>
      </c>
      <c r="D13" s="94">
        <f>'DOE25'!G14</f>
        <v>2579.48</v>
      </c>
      <c r="E13" s="94">
        <f>'DOE25'!H14</f>
        <v>399853.21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387606.74</v>
      </c>
      <c r="D18" s="41">
        <f>SUM(D8:D17)</f>
        <v>65883.02</v>
      </c>
      <c r="E18" s="41">
        <f>SUM(E8:E17)</f>
        <v>399853.21</v>
      </c>
      <c r="F18" s="41">
        <f>SUM(F8:F17)</f>
        <v>0</v>
      </c>
      <c r="G18" s="41">
        <f>SUM(G8:G17)</f>
        <v>129515.23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286462.13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362089.76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254783.76</v>
      </c>
      <c r="D23" s="94">
        <f>'DOE25'!G24</f>
        <v>51734.67</v>
      </c>
      <c r="E23" s="94">
        <f>'DOE25'!H24</f>
        <v>35601.35</v>
      </c>
      <c r="F23" s="94">
        <f>'DOE25'!I24</f>
        <v>187125.38</v>
      </c>
      <c r="G23" s="94">
        <f>'DOE25'!J24</f>
        <v>520.02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52503.02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132822.98000000001</v>
      </c>
      <c r="D27" s="94">
        <f>'DOE25'!G28</f>
        <v>0</v>
      </c>
      <c r="E27" s="94">
        <f>'DOE25'!H28</f>
        <v>16067.7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387606.74</v>
      </c>
      <c r="D31" s="41">
        <f>SUM(D21:D30)</f>
        <v>51734.67</v>
      </c>
      <c r="E31" s="41">
        <f>SUM(E21:E30)</f>
        <v>338131.18</v>
      </c>
      <c r="F31" s="41">
        <f>SUM(F21:F30)</f>
        <v>601718.16</v>
      </c>
      <c r="G31" s="41">
        <f>SUM(G21:G30)</f>
        <v>520.02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-601718.16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881</v>
      </c>
      <c r="B46" s="6">
        <v>760</v>
      </c>
      <c r="C46" s="94">
        <f>'DOE25'!F47</f>
        <v>0</v>
      </c>
      <c r="D46" s="94">
        <f>'DOE25'!G47</f>
        <v>14148.35</v>
      </c>
      <c r="E46" s="94">
        <f>'DOE25'!H47</f>
        <v>61722.03</v>
      </c>
      <c r="F46" s="94">
        <f>'DOE25'!I47</f>
        <v>0</v>
      </c>
      <c r="G46" s="94">
        <f>'DOE25'!J47</f>
        <v>128995.20999999999</v>
      </c>
      <c r="H46" s="123"/>
      <c r="I46" s="123"/>
    </row>
    <row r="47" spans="1:9" x14ac:dyDescent="0.2">
      <c r="A47" s="1" t="s">
        <v>897</v>
      </c>
      <c r="B47" s="6">
        <v>753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0</v>
      </c>
      <c r="H47" s="123"/>
      <c r="I47" s="123"/>
    </row>
    <row r="48" spans="1:9" ht="12" thickBot="1" x14ac:dyDescent="0.25">
      <c r="A48" s="29" t="s">
        <v>882</v>
      </c>
      <c r="B48" s="70">
        <v>770</v>
      </c>
      <c r="C48" s="94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883</v>
      </c>
      <c r="B49" s="48"/>
      <c r="C49" s="41">
        <f>SUM(C34:C48)</f>
        <v>0</v>
      </c>
      <c r="D49" s="41">
        <f>SUM(D34:D48)</f>
        <v>14148.35</v>
      </c>
      <c r="E49" s="41">
        <f>SUM(E34:E48)</f>
        <v>61722.03</v>
      </c>
      <c r="F49" s="41">
        <f>SUM(F34:F48)</f>
        <v>-601718.16</v>
      </c>
      <c r="G49" s="41">
        <f>SUM(G34:G48)</f>
        <v>128995.20999999999</v>
      </c>
      <c r="H49" s="123"/>
      <c r="I49" s="123"/>
    </row>
    <row r="50" spans="1:9" ht="12" thickTop="1" x14ac:dyDescent="0.2">
      <c r="A50" s="38" t="s">
        <v>884</v>
      </c>
      <c r="B50" s="2"/>
      <c r="C50" s="41">
        <f>C49+C31</f>
        <v>387606.74</v>
      </c>
      <c r="D50" s="41">
        <f>D49+D31</f>
        <v>65883.02</v>
      </c>
      <c r="E50" s="41">
        <f>E49+E31</f>
        <v>399853.20999999996</v>
      </c>
      <c r="F50" s="41">
        <f>F49+F31</f>
        <v>0</v>
      </c>
      <c r="G50" s="41">
        <f>G49+G31</f>
        <v>129515.23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12184885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1628914.7499999998</v>
      </c>
      <c r="D56" s="24" t="s">
        <v>289</v>
      </c>
      <c r="E56" s="94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0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0</v>
      </c>
      <c r="D58" s="94">
        <f>'DOE25'!G95</f>
        <v>0</v>
      </c>
      <c r="E58" s="94">
        <f>'DOE25'!H95</f>
        <v>0</v>
      </c>
      <c r="F58" s="94">
        <f>'DOE25'!I95</f>
        <v>132.08000000000001</v>
      </c>
      <c r="G58" s="94">
        <f>'DOE25'!J95</f>
        <v>0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262773.86000000004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16100.47</v>
      </c>
      <c r="D60" s="94">
        <f>SUM('DOE25'!G97:G109)</f>
        <v>31377.24</v>
      </c>
      <c r="E60" s="94">
        <f>SUM('DOE25'!H97:H109)</f>
        <v>0</v>
      </c>
      <c r="F60" s="94">
        <f>SUM('DOE25'!I97:I109)</f>
        <v>0</v>
      </c>
      <c r="G60" s="94">
        <f>SUM('DOE25'!J97:J109)</f>
        <v>152620.69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1645015.2199999997</v>
      </c>
      <c r="D61" s="129">
        <f>SUM(D56:D60)</f>
        <v>294151.10000000003</v>
      </c>
      <c r="E61" s="129">
        <f>SUM(E56:E60)</f>
        <v>0</v>
      </c>
      <c r="F61" s="129">
        <f>SUM(F56:F60)</f>
        <v>132.08000000000001</v>
      </c>
      <c r="G61" s="129">
        <f>SUM(G56:G60)</f>
        <v>152620.69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13829900.219999999</v>
      </c>
      <c r="D62" s="22">
        <f>D55+D61</f>
        <v>294151.10000000003</v>
      </c>
      <c r="E62" s="22">
        <f>E55+E61</f>
        <v>0</v>
      </c>
      <c r="F62" s="22">
        <f>F55+F61</f>
        <v>132.08000000000001</v>
      </c>
      <c r="G62" s="22">
        <f>G55+G61</f>
        <v>152620.69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4">
        <f>'DOE25'!F116</f>
        <v>7288749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1986131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0</v>
      </c>
      <c r="D68" s="94">
        <f>'DOE25'!G119</f>
        <v>0</v>
      </c>
      <c r="E68" s="94">
        <f>'DOE25'!H119</f>
        <v>0</v>
      </c>
      <c r="F68" s="94">
        <f>'DOE25'!I119</f>
        <v>0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9274880</v>
      </c>
      <c r="D69" s="138">
        <f>D68</f>
        <v>0</v>
      </c>
      <c r="E69" s="138">
        <f>E68</f>
        <v>0</v>
      </c>
      <c r="F69" s="138">
        <f>F68</f>
        <v>0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834865.49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493973.6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53381.919999999998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0</v>
      </c>
      <c r="D76" s="94">
        <f>SUM('DOE25'!G130:G134)</f>
        <v>6758.33</v>
      </c>
      <c r="E76" s="94">
        <f>SUM('DOE25'!H130:H134)</f>
        <v>0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1382221.0099999998</v>
      </c>
      <c r="D77" s="129">
        <f>SUM(D71:D76)</f>
        <v>6758.33</v>
      </c>
      <c r="E77" s="129">
        <f>SUM(E71:E76)</f>
        <v>0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10657101.01</v>
      </c>
      <c r="D80" s="129">
        <f>SUM(D78:D79)+D77+D69</f>
        <v>6758.33</v>
      </c>
      <c r="E80" s="129">
        <f>SUM(E78:E79)+E77+E69</f>
        <v>0</v>
      </c>
      <c r="F80" s="129">
        <f>SUM(F78:F79)+F77+F69</f>
        <v>0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0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0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245399.5</v>
      </c>
      <c r="D87" s="94">
        <f>SUM('DOE25'!G152:G160)</f>
        <v>417737.70999999996</v>
      </c>
      <c r="E87" s="94">
        <f>SUM('DOE25'!H152:H160)</f>
        <v>1198290.3299999998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245399.5</v>
      </c>
      <c r="D90" s="130">
        <f>SUM(D84:D89)</f>
        <v>417737.70999999996</v>
      </c>
      <c r="E90" s="130">
        <f>SUM(E84:E89)</f>
        <v>1198290.3299999998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0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10000</v>
      </c>
      <c r="E95" s="94">
        <f>'DOE25'!H178</f>
        <v>0</v>
      </c>
      <c r="F95" s="94">
        <f>'DOE25'!I178</f>
        <v>77762</v>
      </c>
      <c r="G95" s="94">
        <f>'DOE25'!J178</f>
        <v>0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0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0</v>
      </c>
      <c r="D102" s="85">
        <f>SUM(D92:D101)</f>
        <v>10000</v>
      </c>
      <c r="E102" s="85">
        <f>SUM(E92:E101)</f>
        <v>0</v>
      </c>
      <c r="F102" s="85">
        <f>SUM(F92:F101)</f>
        <v>77762</v>
      </c>
      <c r="G102" s="85">
        <f>SUM(G92:G101)</f>
        <v>0</v>
      </c>
    </row>
    <row r="103" spans="1:7" ht="12.75" thickTop="1" thickBot="1" x14ac:dyDescent="0.25">
      <c r="A103" s="33" t="s">
        <v>765</v>
      </c>
      <c r="C103" s="85">
        <f>C62+C80+C90+C102</f>
        <v>24732400.729999997</v>
      </c>
      <c r="D103" s="85">
        <f>D62+D80+D90+D102</f>
        <v>728647.14</v>
      </c>
      <c r="E103" s="85">
        <f>E62+E80+E90+E102</f>
        <v>1198290.3299999998</v>
      </c>
      <c r="F103" s="85">
        <f>F62+F80+F90+F102</f>
        <v>77894.080000000002</v>
      </c>
      <c r="G103" s="85">
        <f>G62+G80+G102</f>
        <v>152620.69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8354927.7367000002</v>
      </c>
      <c r="D108" s="24" t="s">
        <v>289</v>
      </c>
      <c r="E108" s="94">
        <f>('DOE25'!L275)+('DOE25'!L294)+('DOE25'!L313)</f>
        <v>157501.19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5324253.2899999991</v>
      </c>
      <c r="D109" s="24" t="s">
        <v>289</v>
      </c>
      <c r="E109" s="94">
        <f>('DOE25'!L276)+('DOE25'!L295)+('DOE25'!L314)</f>
        <v>452564.20999999996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798676.55999999994</v>
      </c>
      <c r="D110" s="24" t="s">
        <v>289</v>
      </c>
      <c r="E110" s="94">
        <f>('DOE25'!L277)+('DOE25'!L296)+('DOE25'!L315)</f>
        <v>99983.2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137517.27000000002</v>
      </c>
      <c r="D111" s="24" t="s">
        <v>289</v>
      </c>
      <c r="E111" s="94">
        <f>+('DOE25'!L278)+('DOE25'!L297)+('DOE25'!L316)</f>
        <v>245132.48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0</v>
      </c>
      <c r="D113" s="24" t="s">
        <v>289</v>
      </c>
      <c r="E113" s="94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14615374.856699999</v>
      </c>
      <c r="D114" s="85">
        <f>SUM(D108:D113)</f>
        <v>0</v>
      </c>
      <c r="E114" s="85">
        <f>SUM(E108:E113)</f>
        <v>955181.07999999984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1716894.6233000001</v>
      </c>
      <c r="D117" s="24" t="s">
        <v>289</v>
      </c>
      <c r="E117" s="94">
        <f>+('DOE25'!L280)+('DOE25'!L299)+('DOE25'!L318)</f>
        <v>16864.98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276527.46999999997</v>
      </c>
      <c r="D118" s="24" t="s">
        <v>289</v>
      </c>
      <c r="E118" s="94">
        <f>+('DOE25'!L281)+('DOE25'!L300)+('DOE25'!L319)</f>
        <v>149856.63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970047.70000000019</v>
      </c>
      <c r="D119" s="24" t="s">
        <v>289</v>
      </c>
      <c r="E119" s="94">
        <f>+('DOE25'!L282)+('DOE25'!L301)+('DOE25'!L320)</f>
        <v>11250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1370412.63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0</v>
      </c>
      <c r="D121" s="24" t="s">
        <v>289</v>
      </c>
      <c r="E121" s="94">
        <f>+('DOE25'!L284)+('DOE25'!L303)+('DOE25'!L322)</f>
        <v>44617.32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2369673.6799999997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967005.66</v>
      </c>
      <c r="D123" s="24" t="s">
        <v>289</v>
      </c>
      <c r="E123" s="94">
        <f>+('DOE25'!L286)+('DOE25'!L305)+('DOE25'!L324)</f>
        <v>5277.2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390189.11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717835.53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8060750.8733000001</v>
      </c>
      <c r="D127" s="85">
        <f>SUM(D117:D126)</f>
        <v>717835.53</v>
      </c>
      <c r="E127" s="85">
        <f>SUM(E117:E126)</f>
        <v>227866.13000000003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0</v>
      </c>
      <c r="D129" s="24" t="s">
        <v>289</v>
      </c>
      <c r="E129" s="128">
        <f>'DOE25'!L335</f>
        <v>0</v>
      </c>
      <c r="F129" s="128">
        <f>SUM('DOE25'!L373:'DOE25'!L379)</f>
        <v>1147003.56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1683130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285383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0</v>
      </c>
      <c r="F133" s="94">
        <f>'DOE25'!K380</f>
        <v>0</v>
      </c>
      <c r="G133" s="94">
        <f>'DOE25'!K433</f>
        <v>0</v>
      </c>
    </row>
    <row r="134" spans="1:7" x14ac:dyDescent="0.2">
      <c r="A134" t="s">
        <v>233</v>
      </c>
      <c r="B134" s="32" t="s">
        <v>234</v>
      </c>
      <c r="C134" s="94">
        <f>'DOE25'!L262</f>
        <v>10000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77762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152620.69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-152620.69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2056275</v>
      </c>
      <c r="D143" s="140">
        <f>SUM(D129:D142)</f>
        <v>0</v>
      </c>
      <c r="E143" s="140">
        <f>SUM(E129:E142)</f>
        <v>0</v>
      </c>
      <c r="F143" s="140">
        <f>SUM(F129:F142)</f>
        <v>1147003.56</v>
      </c>
      <c r="G143" s="140">
        <f>SUM(G129:G142)</f>
        <v>0</v>
      </c>
    </row>
    <row r="144" spans="1:7" ht="12.75" thickTop="1" thickBot="1" x14ac:dyDescent="0.25">
      <c r="A144" s="33" t="s">
        <v>244</v>
      </c>
      <c r="C144" s="85">
        <f>(C114+C127+C143)</f>
        <v>24732400.73</v>
      </c>
      <c r="D144" s="85">
        <f>(D114+D127+D143)</f>
        <v>717835.53</v>
      </c>
      <c r="E144" s="85">
        <f>(E114+E127+E143)</f>
        <v>1183047.21</v>
      </c>
      <c r="F144" s="85">
        <f>(F114+F127+F143)</f>
        <v>1147003.56</v>
      </c>
      <c r="G144" s="85">
        <f>(G114+G127+G143)</f>
        <v>0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1">
        <f>'DOE25'!F489</f>
        <v>1</v>
      </c>
      <c r="C150" s="151">
        <f>'DOE25'!G489</f>
        <v>2</v>
      </c>
      <c r="D150" s="151">
        <f>'DOE25'!H489</f>
        <v>3</v>
      </c>
      <c r="E150" s="151">
        <f>'DOE25'!I489</f>
        <v>4</v>
      </c>
      <c r="F150" s="151">
        <f>'DOE25'!J489</f>
        <v>0</v>
      </c>
      <c r="G150" s="24" t="s">
        <v>289</v>
      </c>
    </row>
    <row r="151" spans="1:9" x14ac:dyDescent="0.2">
      <c r="A151" s="135" t="s">
        <v>28</v>
      </c>
      <c r="B151" s="150" t="str">
        <f>'DOE25'!F490</f>
        <v>0</v>
      </c>
      <c r="C151" s="150" t="str">
        <f>'DOE25'!G490</f>
        <v>0</v>
      </c>
      <c r="D151" s="150" t="str">
        <f>'DOE25'!H490</f>
        <v>07/08</v>
      </c>
      <c r="E151" s="150" t="str">
        <f>'DOE25'!I490</f>
        <v>01/10</v>
      </c>
      <c r="F151" s="150">
        <f>'DOE25'!J490</f>
        <v>0</v>
      </c>
      <c r="G151" s="24" t="s">
        <v>289</v>
      </c>
    </row>
    <row r="152" spans="1:9" x14ac:dyDescent="0.2">
      <c r="A152" s="135" t="s">
        <v>29</v>
      </c>
      <c r="B152" s="150" t="str">
        <f>'DOE25'!F491</f>
        <v>0</v>
      </c>
      <c r="C152" s="150" t="str">
        <f>'DOE25'!G491</f>
        <v>0</v>
      </c>
      <c r="D152" s="150" t="str">
        <f>'DOE25'!H491</f>
        <v>08/18</v>
      </c>
      <c r="E152" s="150" t="str">
        <f>'DOE25'!I491</f>
        <v>01/30</v>
      </c>
      <c r="F152" s="150">
        <f>'DOE25'!J491</f>
        <v>0</v>
      </c>
      <c r="G152" s="24" t="s">
        <v>289</v>
      </c>
    </row>
    <row r="153" spans="1:9" x14ac:dyDescent="0.2">
      <c r="A153" s="135" t="s">
        <v>30</v>
      </c>
      <c r="B153" s="136">
        <f>'DOE25'!F492</f>
        <v>5300000</v>
      </c>
      <c r="C153" s="136">
        <f>'DOE25'!G492</f>
        <v>310000</v>
      </c>
      <c r="D153" s="136">
        <f>'DOE25'!H492</f>
        <v>1338545</v>
      </c>
      <c r="E153" s="136">
        <f>'DOE25'!I492</f>
        <v>18953000</v>
      </c>
      <c r="F153" s="136">
        <f>'DOE25'!J492</f>
        <v>0</v>
      </c>
      <c r="G153" s="24" t="s">
        <v>289</v>
      </c>
    </row>
    <row r="154" spans="1:9" x14ac:dyDescent="0.2">
      <c r="A154" s="135" t="s">
        <v>31</v>
      </c>
      <c r="B154" s="136">
        <f>'DOE25'!F493</f>
        <v>5.63</v>
      </c>
      <c r="C154" s="136">
        <f>'DOE25'!G493</f>
        <v>5.2</v>
      </c>
      <c r="D154" s="136">
        <f>'DOE25'!H493</f>
        <v>3.68</v>
      </c>
      <c r="E154" s="136">
        <f>'DOE25'!I493</f>
        <v>3.73</v>
      </c>
      <c r="F154" s="136">
        <f>'DOE25'!J493</f>
        <v>0</v>
      </c>
      <c r="G154" s="24" t="s">
        <v>289</v>
      </c>
    </row>
    <row r="155" spans="1:9" x14ac:dyDescent="0.2">
      <c r="A155" s="22" t="s">
        <v>32</v>
      </c>
      <c r="B155" s="136">
        <f>'DOE25'!F494</f>
        <v>1325000</v>
      </c>
      <c r="C155" s="136">
        <f>'DOE25'!G494</f>
        <v>120000</v>
      </c>
      <c r="D155" s="136">
        <f>'DOE25'!H494</f>
        <v>935000</v>
      </c>
      <c r="E155" s="136">
        <f>'DOE25'!I494</f>
        <v>16252203</v>
      </c>
      <c r="F155" s="136">
        <f>'DOE25'!J494</f>
        <v>0</v>
      </c>
      <c r="G155" s="137">
        <f>SUM(B155:F155)</f>
        <v>18632203</v>
      </c>
    </row>
    <row r="156" spans="1:9" x14ac:dyDescent="0.2">
      <c r="A156" s="22" t="s">
        <v>33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0</v>
      </c>
    </row>
    <row r="157" spans="1:9" x14ac:dyDescent="0.2">
      <c r="A157" s="22" t="s">
        <v>34</v>
      </c>
      <c r="B157" s="136">
        <f>'DOE25'!F496</f>
        <v>265000</v>
      </c>
      <c r="C157" s="136">
        <f>'DOE25'!G496</f>
        <v>15000</v>
      </c>
      <c r="D157" s="136">
        <f>'DOE25'!H496</f>
        <v>135000</v>
      </c>
      <c r="E157" s="136">
        <f>'DOE25'!I496</f>
        <v>1268130</v>
      </c>
      <c r="F157" s="136">
        <f>'DOE25'!J496</f>
        <v>0</v>
      </c>
      <c r="G157" s="137">
        <f t="shared" si="0"/>
        <v>1683130</v>
      </c>
    </row>
    <row r="158" spans="1:9" x14ac:dyDescent="0.2">
      <c r="A158" s="22" t="s">
        <v>35</v>
      </c>
      <c r="B158" s="136">
        <f>'DOE25'!F497</f>
        <v>1060000</v>
      </c>
      <c r="C158" s="136">
        <f>'DOE25'!G497</f>
        <v>105000</v>
      </c>
      <c r="D158" s="136">
        <f>'DOE25'!H497</f>
        <v>800000</v>
      </c>
      <c r="E158" s="136">
        <f>'DOE25'!I497</f>
        <v>14984073</v>
      </c>
      <c r="F158" s="136">
        <f>'DOE25'!J497</f>
        <v>0</v>
      </c>
      <c r="G158" s="137">
        <f t="shared" si="0"/>
        <v>16949073</v>
      </c>
    </row>
    <row r="159" spans="1:9" x14ac:dyDescent="0.2">
      <c r="A159" s="22" t="s">
        <v>36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37</v>
      </c>
      <c r="B160" s="136">
        <f>'DOE25'!F499</f>
        <v>1060000</v>
      </c>
      <c r="C160" s="136">
        <f>'DOE25'!G499</f>
        <v>105000</v>
      </c>
      <c r="D160" s="136">
        <f>'DOE25'!H499</f>
        <v>800000</v>
      </c>
      <c r="E160" s="136">
        <f>'DOE25'!I499</f>
        <v>14984073</v>
      </c>
      <c r="F160" s="136">
        <f>'DOE25'!J499</f>
        <v>0</v>
      </c>
      <c r="G160" s="137">
        <f t="shared" si="0"/>
        <v>16949073</v>
      </c>
    </row>
    <row r="161" spans="1:7" x14ac:dyDescent="0.2">
      <c r="A161" s="22" t="s">
        <v>38</v>
      </c>
      <c r="B161" s="136">
        <f>'DOE25'!F500</f>
        <v>265000</v>
      </c>
      <c r="C161" s="136">
        <f>'DOE25'!G500</f>
        <v>15000</v>
      </c>
      <c r="D161" s="136">
        <f>'DOE25'!H500</f>
        <v>135000</v>
      </c>
      <c r="E161" s="136">
        <f>'DOE25'!I500</f>
        <v>1219687</v>
      </c>
      <c r="F161" s="136">
        <f>'DOE25'!J500</f>
        <v>0</v>
      </c>
      <c r="G161" s="137">
        <f t="shared" si="0"/>
        <v>1634687</v>
      </c>
    </row>
    <row r="162" spans="1:7" x14ac:dyDescent="0.2">
      <c r="A162" s="22" t="s">
        <v>39</v>
      </c>
      <c r="B162" s="136">
        <f>'DOE25'!F501</f>
        <v>53331</v>
      </c>
      <c r="C162" s="136">
        <f>'DOE25'!G501</f>
        <v>5119</v>
      </c>
      <c r="D162" s="136">
        <f>'DOE25'!H501</f>
        <v>38456</v>
      </c>
      <c r="E162" s="136">
        <f>'DOE25'!I501</f>
        <v>217976</v>
      </c>
      <c r="F162" s="136">
        <f>'DOE25'!J501</f>
        <v>0</v>
      </c>
      <c r="G162" s="137">
        <f t="shared" si="0"/>
        <v>314882</v>
      </c>
    </row>
    <row r="163" spans="1:7" x14ac:dyDescent="0.2">
      <c r="A163" s="22" t="s">
        <v>246</v>
      </c>
      <c r="B163" s="136">
        <f>'DOE25'!F502</f>
        <v>318331</v>
      </c>
      <c r="C163" s="136">
        <f>'DOE25'!G502</f>
        <v>20119</v>
      </c>
      <c r="D163" s="136">
        <f>'DOE25'!H502</f>
        <v>173456</v>
      </c>
      <c r="E163" s="136">
        <f>'DOE25'!I502</f>
        <v>1437663</v>
      </c>
      <c r="F163" s="136">
        <f>'DOE25'!J502</f>
        <v>0</v>
      </c>
      <c r="G163" s="137">
        <f t="shared" si="0"/>
        <v>1949569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5" t="s">
        <v>717</v>
      </c>
      <c r="B2" s="184" t="str">
        <f>'DOE25'!A2</f>
        <v>Somersworth</v>
      </c>
    </row>
    <row r="3" spans="1:4" x14ac:dyDescent="0.2">
      <c r="B3" s="186" t="s">
        <v>904</v>
      </c>
    </row>
    <row r="4" spans="1:4" x14ac:dyDescent="0.2">
      <c r="B4" t="s">
        <v>61</v>
      </c>
      <c r="C4" s="177">
        <f>IF('DOE25'!F664+'DOE25'!F669=0,0,ROUND('DOE25'!F671,0))</f>
        <v>12723</v>
      </c>
    </row>
    <row r="5" spans="1:4" x14ac:dyDescent="0.2">
      <c r="B5" t="s">
        <v>704</v>
      </c>
      <c r="C5" s="177">
        <f>IF('DOE25'!G664+'DOE25'!G669=0,0,ROUND('DOE25'!G671,0))</f>
        <v>13093</v>
      </c>
    </row>
    <row r="6" spans="1:4" x14ac:dyDescent="0.2">
      <c r="B6" t="s">
        <v>62</v>
      </c>
      <c r="C6" s="177">
        <f>IF('DOE25'!H664+'DOE25'!H669=0,0,ROUND('DOE25'!H671,0))</f>
        <v>13053</v>
      </c>
    </row>
    <row r="7" spans="1:4" x14ac:dyDescent="0.2">
      <c r="B7" t="s">
        <v>705</v>
      </c>
      <c r="C7" s="177">
        <f>IF('DOE25'!I664+'DOE25'!I669=0,0,ROUND('DOE25'!I671,0))</f>
        <v>12921</v>
      </c>
    </row>
    <row r="9" spans="1:4" x14ac:dyDescent="0.2">
      <c r="A9" s="185" t="s">
        <v>94</v>
      </c>
      <c r="B9" s="186" t="s">
        <v>905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ROUND('DOE25'!L196+'DOE25'!L214+'DOE25'!L232+'DOE25'!L275+'DOE25'!L294+'DOE25'!L313,0)</f>
        <v>8512429</v>
      </c>
      <c r="D10" s="180">
        <f>ROUND((C10/$C$28)*100,1)</f>
        <v>34.6</v>
      </c>
    </row>
    <row r="11" spans="1:4" x14ac:dyDescent="0.2">
      <c r="A11">
        <v>1200</v>
      </c>
      <c r="B11" t="s">
        <v>707</v>
      </c>
      <c r="C11" s="177">
        <f>ROUND('DOE25'!L197+'DOE25'!L215+'DOE25'!L233+'DOE25'!L276+'DOE25'!L295+'DOE25'!L314,0)</f>
        <v>5776818</v>
      </c>
      <c r="D11" s="180">
        <f>ROUND((C11/$C$28)*100,1)</f>
        <v>23.5</v>
      </c>
    </row>
    <row r="12" spans="1:4" x14ac:dyDescent="0.2">
      <c r="A12">
        <v>1300</v>
      </c>
      <c r="B12" t="s">
        <v>708</v>
      </c>
      <c r="C12" s="177">
        <f>ROUND('DOE25'!L198+'DOE25'!L216+'DOE25'!L234+'DOE25'!L277+'DOE25'!L296+'DOE25'!L315,0)</f>
        <v>898660</v>
      </c>
      <c r="D12" s="180">
        <f>ROUND((C12/$C$28)*100,1)</f>
        <v>3.7</v>
      </c>
    </row>
    <row r="13" spans="1:4" x14ac:dyDescent="0.2">
      <c r="A13">
        <v>1400</v>
      </c>
      <c r="B13" t="s">
        <v>709</v>
      </c>
      <c r="C13" s="177">
        <f>ROUND('DOE25'!L199+'DOE25'!L217+'DOE25'!L235+'DOE25'!L278+'DOE25'!L297+'DOE25'!L316,0)</f>
        <v>382650</v>
      </c>
      <c r="D13" s="180">
        <f>ROUND((C13/$C$28)*100,1)</f>
        <v>1.6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ROUND('DOE25'!L201+'DOE25'!L219+'DOE25'!L237+'DOE25'!L280+'DOE25'!L299+'DOE25'!L318,0)</f>
        <v>1733760</v>
      </c>
      <c r="D15" s="180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7">
        <f>ROUND('DOE25'!L202+'DOE25'!L220+'DOE25'!L238+'DOE25'!L281+'DOE25'!L300+'DOE25'!L319,0)</f>
        <v>426384</v>
      </c>
      <c r="D16" s="180">
        <f t="shared" si="0"/>
        <v>1.7</v>
      </c>
    </row>
    <row r="17" spans="1:4" x14ac:dyDescent="0.2">
      <c r="A17" s="181" t="s">
        <v>727</v>
      </c>
      <c r="B17" t="s">
        <v>742</v>
      </c>
      <c r="C17" s="177">
        <f>ROUND('DOE25'!L203+'DOE25'!L208+'DOE25'!L221+'DOE25'!L226+'DOE25'!L239+'DOE25'!L244+'DOE25'!L282+'DOE25'!L287+'DOE25'!L301+'DOE25'!L306+'DOE25'!L320+'DOE25'!L325,0)</f>
        <v>1371487</v>
      </c>
      <c r="D17" s="180">
        <f t="shared" si="0"/>
        <v>5.6</v>
      </c>
    </row>
    <row r="18" spans="1:4" x14ac:dyDescent="0.2">
      <c r="A18">
        <v>2400</v>
      </c>
      <c r="B18" t="s">
        <v>715</v>
      </c>
      <c r="C18" s="177">
        <f>ROUND('DOE25'!L204+'DOE25'!L222+'DOE25'!L240+'DOE25'!L283+'DOE25'!L302+'DOE25'!L321,0)</f>
        <v>1370413</v>
      </c>
      <c r="D18" s="180">
        <f t="shared" si="0"/>
        <v>5.6</v>
      </c>
    </row>
    <row r="19" spans="1:4" x14ac:dyDescent="0.2">
      <c r="A19">
        <v>2500</v>
      </c>
      <c r="B19" t="s">
        <v>712</v>
      </c>
      <c r="C19" s="177">
        <f>ROUND('DOE25'!L205+'DOE25'!L223+'DOE25'!L241+'DOE25'!L284+'DOE25'!L303+'DOE25'!L322,0)</f>
        <v>44617</v>
      </c>
      <c r="D19" s="180">
        <f t="shared" si="0"/>
        <v>0.2</v>
      </c>
    </row>
    <row r="20" spans="1:4" x14ac:dyDescent="0.2">
      <c r="A20">
        <v>2600</v>
      </c>
      <c r="B20" t="s">
        <v>713</v>
      </c>
      <c r="C20" s="177">
        <f>ROUND('DOE25'!L206+'DOE25'!L224+'DOE25'!L242+'DOE25'!L285+'DOE25'!L304+'DOE25'!L323,0)</f>
        <v>2369674</v>
      </c>
      <c r="D20" s="180">
        <f t="shared" si="0"/>
        <v>9.6</v>
      </c>
    </row>
    <row r="21" spans="1:4" x14ac:dyDescent="0.2">
      <c r="A21">
        <v>2700</v>
      </c>
      <c r="B21" t="s">
        <v>714</v>
      </c>
      <c r="C21" s="177">
        <f>ROUND('DOE25'!L207+'DOE25'!L225+'DOE25'!L243+'DOE25'!L286+'DOE25'!L305+'DOE25'!L324,0)</f>
        <v>972283</v>
      </c>
      <c r="D21" s="180">
        <f t="shared" si="0"/>
        <v>4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ROUND('DOE25'!L249+'DOE25'!L331,0)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ROUND('DOE25'!L250+'DOE25'!L251+'DOE25'!L252+'DOE25'!L253+'DOE25'!L332+'DOE25'!L333+'DOE25'!L334,0)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ROUND('DOE25'!L260+'DOE25'!L341,0)</f>
        <v>285383</v>
      </c>
      <c r="D25" s="180">
        <f t="shared" si="0"/>
        <v>1.2</v>
      </c>
    </row>
    <row r="26" spans="1:4" x14ac:dyDescent="0.2">
      <c r="A26" s="181" t="s">
        <v>721</v>
      </c>
      <c r="B26" t="s">
        <v>722</v>
      </c>
      <c r="C26" s="177">
        <f>'DOE25'!L267+'DOE25'!L268+'DOE25'!L348+'DOE25'!L349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ROUND('DOE25'!L361-'DOE25'!L360,0)-SUM('DOE25'!G96:G109)</f>
        <v>423684.89999999997</v>
      </c>
      <c r="D27" s="180">
        <f t="shared" si="0"/>
        <v>1.7</v>
      </c>
    </row>
    <row r="28" spans="1:4" x14ac:dyDescent="0.2">
      <c r="B28" s="185" t="s">
        <v>723</v>
      </c>
      <c r="C28" s="178">
        <f>SUM(C10:C27)</f>
        <v>24568242.899999999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ROUND('DOE25'!L254+'DOE25'!L335+'DOE25'!L373+'DOE25'!L374+'DOE25'!L375+'DOE25'!L376+'DOE25'!L377+'DOE25'!L378+'DOE25'!L379,0)</f>
        <v>1147004</v>
      </c>
    </row>
    <row r="30" spans="1:4" x14ac:dyDescent="0.2">
      <c r="B30" s="185" t="s">
        <v>729</v>
      </c>
      <c r="C30" s="178">
        <f>SUM(C28:C29)</f>
        <v>25715246.899999999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ROUND('DOE25'!L259+'DOE25'!L340,0)</f>
        <v>1683130</v>
      </c>
    </row>
    <row r="34" spans="1:4" x14ac:dyDescent="0.2">
      <c r="A34" s="185" t="s">
        <v>94</v>
      </c>
      <c r="B34" s="186" t="s">
        <v>906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ROUND('DOE25'!F59+'DOE25'!G59+'DOE25'!H59+'DOE25'!I59+'DOE25'!J59,0)</f>
        <v>12184885</v>
      </c>
      <c r="D35" s="180">
        <f t="shared" ref="D35:D40" si="1">ROUND((C35/$C$41)*100,1)</f>
        <v>46</v>
      </c>
    </row>
    <row r="36" spans="1:4" x14ac:dyDescent="0.2">
      <c r="B36" s="183" t="s">
        <v>743</v>
      </c>
      <c r="C36" s="177">
        <f>SUM('DOE25'!F111:J111)-SUM('DOE25'!G96:G109)+('DOE25'!F173+'DOE25'!F174+'DOE25'!I173+'DOE25'!I174)-C35</f>
        <v>1797767.9900000002</v>
      </c>
      <c r="D36" s="180">
        <f t="shared" si="1"/>
        <v>6.8</v>
      </c>
    </row>
    <row r="37" spans="1:4" x14ac:dyDescent="0.2">
      <c r="A37" s="181" t="s">
        <v>851</v>
      </c>
      <c r="B37" s="183" t="s">
        <v>732</v>
      </c>
      <c r="C37" s="177">
        <f>ROUND('DOE25'!F116+'DOE25'!F117,0)</f>
        <v>9274880</v>
      </c>
      <c r="D37" s="180">
        <f t="shared" si="1"/>
        <v>35</v>
      </c>
    </row>
    <row r="38" spans="1:4" x14ac:dyDescent="0.2">
      <c r="A38" s="181" t="s">
        <v>738</v>
      </c>
      <c r="B38" s="183" t="s">
        <v>733</v>
      </c>
      <c r="C38" s="177">
        <f>ROUND(SUM('DOE25'!F139:J139)-SUM('DOE25'!F116:F118),0)</f>
        <v>1388979</v>
      </c>
      <c r="D38" s="180">
        <f t="shared" si="1"/>
        <v>5.2</v>
      </c>
    </row>
    <row r="39" spans="1:4" x14ac:dyDescent="0.2">
      <c r="A39">
        <v>4000</v>
      </c>
      <c r="B39" s="183" t="s">
        <v>734</v>
      </c>
      <c r="C39" s="177">
        <f>ROUND('DOE25'!F168+'DOE25'!G168+'DOE25'!H168+'DOE25'!I168,0)</f>
        <v>1861428</v>
      </c>
      <c r="D39" s="180">
        <f t="shared" si="1"/>
        <v>7</v>
      </c>
    </row>
    <row r="40" spans="1:4" x14ac:dyDescent="0.2">
      <c r="A40" s="181" t="s">
        <v>739</v>
      </c>
      <c r="B40" s="183" t="s">
        <v>735</v>
      </c>
      <c r="C40" s="177">
        <f>ROUND(SUM('DOE25'!F188:F190)+SUM('DOE25'!G188:G190)+SUM('DOE25'!H188:H190)+SUM('DOE25'!I188:I190),0)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26507939.990000002</v>
      </c>
      <c r="D41" s="182">
        <f>SUM(D35:D40)</f>
        <v>100</v>
      </c>
    </row>
    <row r="42" spans="1:4" x14ac:dyDescent="0.2">
      <c r="A42" s="181" t="s">
        <v>741</v>
      </c>
      <c r="B42" s="183" t="s">
        <v>737</v>
      </c>
      <c r="C42" s="177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1"/>
      <c r="K1" s="211"/>
      <c r="L1" s="211"/>
      <c r="M1" s="212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Somersworth</v>
      </c>
      <c r="G2" s="296"/>
      <c r="H2" s="296"/>
      <c r="I2" s="296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6"/>
      <c r="B4" s="217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09"/>
      <c r="O29" s="209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5"/>
      <c r="AB29" s="205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5"/>
      <c r="AO29" s="205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5"/>
      <c r="BB29" s="205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5"/>
      <c r="BO29" s="205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5"/>
      <c r="CB29" s="205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5"/>
      <c r="CO29" s="205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5"/>
      <c r="DB29" s="205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5"/>
      <c r="DO29" s="205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5"/>
      <c r="EB29" s="205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5"/>
      <c r="EO29" s="205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5"/>
      <c r="FB29" s="205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5"/>
      <c r="FO29" s="205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5"/>
      <c r="GB29" s="205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5"/>
      <c r="GO29" s="205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5"/>
      <c r="HB29" s="205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5"/>
      <c r="HO29" s="205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5"/>
      <c r="IB29" s="205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5"/>
      <c r="IO29" s="205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6"/>
      <c r="B30" s="217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09"/>
      <c r="O30" s="209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5"/>
      <c r="AB30" s="205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5"/>
      <c r="AO30" s="205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5"/>
      <c r="BB30" s="205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5"/>
      <c r="BO30" s="205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5"/>
      <c r="CB30" s="205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5"/>
      <c r="CO30" s="205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5"/>
      <c r="DB30" s="205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5"/>
      <c r="DO30" s="205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5"/>
      <c r="EB30" s="205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5"/>
      <c r="EO30" s="205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5"/>
      <c r="FB30" s="205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5"/>
      <c r="FO30" s="205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5"/>
      <c r="GB30" s="205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5"/>
      <c r="GO30" s="205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5"/>
      <c r="HB30" s="205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5"/>
      <c r="HO30" s="205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5"/>
      <c r="IB30" s="205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5"/>
      <c r="IO30" s="205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6"/>
      <c r="B31" s="217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09"/>
      <c r="O31" s="209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5"/>
      <c r="AB31" s="205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5"/>
      <c r="AO31" s="205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5"/>
      <c r="BB31" s="205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5"/>
      <c r="BO31" s="205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5"/>
      <c r="CB31" s="205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5"/>
      <c r="CO31" s="205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5"/>
      <c r="DB31" s="205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5"/>
      <c r="DO31" s="205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5"/>
      <c r="EB31" s="205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5"/>
      <c r="EO31" s="205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5"/>
      <c r="FB31" s="205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5"/>
      <c r="FO31" s="205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5"/>
      <c r="GB31" s="205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5"/>
      <c r="GO31" s="205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5"/>
      <c r="HB31" s="205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5"/>
      <c r="HO31" s="205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5"/>
      <c r="IB31" s="205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5"/>
      <c r="IO31" s="205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6"/>
      <c r="B32" s="217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1"/>
      <c r="O32" s="221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6"/>
      <c r="AB32" s="217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6"/>
      <c r="AO32" s="217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6"/>
      <c r="BB32" s="217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6"/>
      <c r="BO32" s="217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6"/>
      <c r="CB32" s="217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6"/>
      <c r="CO32" s="217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6"/>
      <c r="DB32" s="217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6"/>
      <c r="DO32" s="217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6"/>
      <c r="EB32" s="217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6"/>
      <c r="EO32" s="217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6"/>
      <c r="FB32" s="217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6"/>
      <c r="FO32" s="217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6"/>
      <c r="GB32" s="217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6"/>
      <c r="GO32" s="217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6"/>
      <c r="HB32" s="217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6"/>
      <c r="HO32" s="217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6"/>
      <c r="IB32" s="217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6"/>
      <c r="IO32" s="217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6"/>
      <c r="B33" s="217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09"/>
      <c r="O38" s="209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5"/>
      <c r="AB38" s="205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5"/>
      <c r="AO38" s="205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5"/>
      <c r="BB38" s="205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5"/>
      <c r="BO38" s="205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5"/>
      <c r="CB38" s="205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5"/>
      <c r="CO38" s="205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5"/>
      <c r="DB38" s="205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5"/>
      <c r="DO38" s="205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5"/>
      <c r="EB38" s="205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5"/>
      <c r="EO38" s="205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5"/>
      <c r="FB38" s="205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5"/>
      <c r="FO38" s="205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5"/>
      <c r="GB38" s="205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5"/>
      <c r="GO38" s="205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5"/>
      <c r="HB38" s="205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5"/>
      <c r="HO38" s="205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5"/>
      <c r="IB38" s="205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5"/>
      <c r="IO38" s="205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6"/>
      <c r="B39" s="217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09"/>
      <c r="O39" s="209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5"/>
      <c r="AB39" s="205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5"/>
      <c r="AO39" s="205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5"/>
      <c r="BB39" s="205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5"/>
      <c r="BO39" s="205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5"/>
      <c r="CB39" s="205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5"/>
      <c r="CO39" s="205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5"/>
      <c r="DB39" s="205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5"/>
      <c r="DO39" s="205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5"/>
      <c r="EB39" s="205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5"/>
      <c r="EO39" s="205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5"/>
      <c r="FB39" s="205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5"/>
      <c r="FO39" s="205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5"/>
      <c r="GB39" s="205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5"/>
      <c r="GO39" s="205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5"/>
      <c r="HB39" s="205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5"/>
      <c r="HO39" s="205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5"/>
      <c r="IB39" s="205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5"/>
      <c r="IO39" s="205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6"/>
      <c r="B40" s="217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09"/>
      <c r="O40" s="209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5"/>
      <c r="AB40" s="205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5"/>
      <c r="AO40" s="205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5"/>
      <c r="BB40" s="205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5"/>
      <c r="BO40" s="205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5"/>
      <c r="CB40" s="205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5"/>
      <c r="CO40" s="205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5"/>
      <c r="DB40" s="205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5"/>
      <c r="DO40" s="205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5"/>
      <c r="EB40" s="205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5"/>
      <c r="EO40" s="205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5"/>
      <c r="FB40" s="205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5"/>
      <c r="FO40" s="205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5"/>
      <c r="GB40" s="205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5"/>
      <c r="GO40" s="205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5"/>
      <c r="HB40" s="205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5"/>
      <c r="HO40" s="205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5"/>
      <c r="IB40" s="205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5"/>
      <c r="IO40" s="205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6"/>
      <c r="B41" s="217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6"/>
      <c r="B60" s="217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6"/>
      <c r="B61" s="217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6"/>
      <c r="B62" s="217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6"/>
      <c r="B63" s="217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6"/>
      <c r="B64" s="217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6"/>
      <c r="B65" s="217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6"/>
      <c r="B66" s="217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6"/>
      <c r="B67" s="217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6"/>
      <c r="B68" s="217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6"/>
      <c r="B69" s="217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18"/>
      <c r="B70" s="219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3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304" t="s">
        <v>848</v>
      </c>
      <c r="B72" s="304"/>
      <c r="C72" s="304"/>
      <c r="D72" s="304"/>
      <c r="E72" s="304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09"/>
      <c r="B74" s="209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09"/>
      <c r="B75" s="209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09"/>
      <c r="B76" s="209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09"/>
      <c r="B77" s="209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09"/>
      <c r="B78" s="209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09"/>
      <c r="B79" s="209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09"/>
      <c r="B80" s="209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09"/>
      <c r="B81" s="209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09"/>
      <c r="B82" s="209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09"/>
      <c r="B83" s="209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09"/>
      <c r="B84" s="209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09"/>
      <c r="B85" s="209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09"/>
      <c r="B86" s="209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09"/>
      <c r="B87" s="209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09"/>
      <c r="B88" s="209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09"/>
      <c r="B89" s="209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09"/>
      <c r="B90" s="209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2013-10-31T15:45:50Z</cp:lastPrinted>
  <dcterms:created xsi:type="dcterms:W3CDTF">1997-12-04T19:04:30Z</dcterms:created>
  <dcterms:modified xsi:type="dcterms:W3CDTF">2013-12-05T18:59:55Z</dcterms:modified>
</cp:coreProperties>
</file>