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4" i="1" l="1"/>
  <c r="F49" i="1"/>
  <c r="H242" i="1"/>
  <c r="H239" i="1"/>
  <c r="K262" i="1" l="1"/>
  <c r="F12" i="1"/>
  <c r="G178" i="1"/>
  <c r="G47" i="1"/>
  <c r="B10" i="12" l="1"/>
  <c r="H527" i="1"/>
  <c r="I527" i="1"/>
  <c r="F472" i="1" l="1"/>
  <c r="I233" i="1"/>
  <c r="F467" i="1"/>
  <c r="J468" i="1"/>
  <c r="J471" i="1"/>
  <c r="J467" i="1"/>
  <c r="I467" i="1"/>
  <c r="H471" i="1"/>
  <c r="H467" i="1"/>
  <c r="G471" i="1"/>
  <c r="G468" i="1"/>
  <c r="H458" i="1"/>
  <c r="G458" i="1"/>
  <c r="H399" i="1"/>
  <c r="H395" i="1"/>
  <c r="H396" i="1"/>
  <c r="C37" i="10" l="1"/>
  <c r="F40" i="2" l="1"/>
  <c r="D39" i="2"/>
  <c r="G654" i="1"/>
  <c r="F47" i="2"/>
  <c r="E47" i="2"/>
  <c r="D47" i="2"/>
  <c r="C47" i="2"/>
  <c r="C49" i="2" s="1"/>
  <c r="F46" i="2"/>
  <c r="E46" i="2"/>
  <c r="D46" i="2"/>
  <c r="D49" i="2" s="1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C108" i="2" s="1"/>
  <c r="L233" i="1"/>
  <c r="C11" i="10" s="1"/>
  <c r="L234" i="1"/>
  <c r="L235" i="1"/>
  <c r="F6" i="13"/>
  <c r="G6" i="13"/>
  <c r="L201" i="1"/>
  <c r="L219" i="1"/>
  <c r="L237" i="1"/>
  <c r="F7" i="13"/>
  <c r="G7" i="13"/>
  <c r="L202" i="1"/>
  <c r="L220" i="1"/>
  <c r="L238" i="1"/>
  <c r="C118" i="2" s="1"/>
  <c r="F12" i="13"/>
  <c r="G12" i="13"/>
  <c r="L204" i="1"/>
  <c r="L222" i="1"/>
  <c r="L240" i="1"/>
  <c r="F14" i="13"/>
  <c r="G14" i="13"/>
  <c r="L206" i="1"/>
  <c r="L224" i="1"/>
  <c r="L242" i="1"/>
  <c r="C122" i="2" s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H660" i="1" s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C13" i="10" s="1"/>
  <c r="L318" i="1"/>
  <c r="C15" i="10" s="1"/>
  <c r="L319" i="1"/>
  <c r="L320" i="1"/>
  <c r="L321" i="1"/>
  <c r="E120" i="2" s="1"/>
  <c r="L322" i="1"/>
  <c r="E121" i="2" s="1"/>
  <c r="L323" i="1"/>
  <c r="L324" i="1"/>
  <c r="L325" i="1"/>
  <c r="E124" i="2" s="1"/>
  <c r="L332" i="1"/>
  <c r="L333" i="1"/>
  <c r="L334" i="1"/>
  <c r="L259" i="1"/>
  <c r="L260" i="1"/>
  <c r="C25" i="10" s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8" i="1" s="1"/>
  <c r="F161" i="1"/>
  <c r="G146" i="1"/>
  <c r="G161" i="1"/>
  <c r="H146" i="1"/>
  <c r="H161" i="1"/>
  <c r="I146" i="1"/>
  <c r="I161" i="1"/>
  <c r="C10" i="10"/>
  <c r="C12" i="10"/>
  <c r="C16" i="10"/>
  <c r="C20" i="10"/>
  <c r="L249" i="1"/>
  <c r="L331" i="1"/>
  <c r="C23" i="10" s="1"/>
  <c r="L253" i="1"/>
  <c r="L267" i="1"/>
  <c r="L268" i="1"/>
  <c r="L348" i="1"/>
  <c r="L349" i="1"/>
  <c r="I664" i="1"/>
  <c r="I669" i="1"/>
  <c r="L210" i="1"/>
  <c r="L228" i="1"/>
  <c r="F660" i="1"/>
  <c r="F663" i="1" s="1"/>
  <c r="G660" i="1"/>
  <c r="F661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F551" i="1" s="1"/>
  <c r="L525" i="1"/>
  <c r="G548" i="1" s="1"/>
  <c r="L526" i="1"/>
  <c r="G549" i="1" s="1"/>
  <c r="L527" i="1"/>
  <c r="G550" i="1" s="1"/>
  <c r="G551" i="1" s="1"/>
  <c r="L530" i="1"/>
  <c r="H548" i="1" s="1"/>
  <c r="L531" i="1"/>
  <c r="H549" i="1" s="1"/>
  <c r="L532" i="1"/>
  <c r="H550" i="1" s="1"/>
  <c r="H551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J551" i="1" s="1"/>
  <c r="E131" i="2"/>
  <c r="E130" i="2"/>
  <c r="K269" i="1"/>
  <c r="L269" i="1" s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C77" i="2" s="1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C90" i="2" s="1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09" i="2"/>
  <c r="C110" i="2"/>
  <c r="E110" i="2"/>
  <c r="C111" i="2"/>
  <c r="C112" i="2"/>
  <c r="E112" i="2"/>
  <c r="C113" i="2"/>
  <c r="E113" i="2"/>
  <c r="D114" i="2"/>
  <c r="F114" i="2"/>
  <c r="G114" i="2"/>
  <c r="C117" i="2"/>
  <c r="E118" i="2"/>
  <c r="C119" i="2"/>
  <c r="E119" i="2"/>
  <c r="C120" i="2"/>
  <c r="E122" i="2"/>
  <c r="C123" i="2"/>
  <c r="E123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G162" i="2" s="1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G622" i="1" s="1"/>
  <c r="H50" i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G256" i="1" s="1"/>
  <c r="G270" i="1" s="1"/>
  <c r="H246" i="1"/>
  <c r="H256" i="1" s="1"/>
  <c r="H270" i="1" s="1"/>
  <c r="I246" i="1"/>
  <c r="J246" i="1"/>
  <c r="K246" i="1"/>
  <c r="K256" i="1" s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F337" i="1" s="1"/>
  <c r="F351" i="1" s="1"/>
  <c r="G327" i="1"/>
  <c r="G337" i="1" s="1"/>
  <c r="G351" i="1" s="1"/>
  <c r="H327" i="1"/>
  <c r="H337" i="1" s="1"/>
  <c r="H351" i="1" s="1"/>
  <c r="I327" i="1"/>
  <c r="F336" i="1"/>
  <c r="G336" i="1"/>
  <c r="L336" i="1" s="1"/>
  <c r="H336" i="1"/>
  <c r="I336" i="1"/>
  <c r="J336" i="1"/>
  <c r="K336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32" i="1" s="1"/>
  <c r="L429" i="1"/>
  <c r="L430" i="1"/>
  <c r="L431" i="1"/>
  <c r="F432" i="1"/>
  <c r="G432" i="1"/>
  <c r="H432" i="1"/>
  <c r="I432" i="1"/>
  <c r="J432" i="1"/>
  <c r="F445" i="1"/>
  <c r="G445" i="1"/>
  <c r="H445" i="1"/>
  <c r="G640" i="1" s="1"/>
  <c r="F451" i="1"/>
  <c r="G451" i="1"/>
  <c r="H451" i="1"/>
  <c r="I451" i="1"/>
  <c r="F459" i="1"/>
  <c r="G459" i="1"/>
  <c r="G460" i="1" s="1"/>
  <c r="H639" i="1" s="1"/>
  <c r="J639" i="1" s="1"/>
  <c r="H459" i="1"/>
  <c r="I459" i="1"/>
  <c r="F460" i="1"/>
  <c r="F469" i="1"/>
  <c r="H469" i="1"/>
  <c r="H475" i="1" s="1"/>
  <c r="H623" i="1" s="1"/>
  <c r="I469" i="1"/>
  <c r="J469" i="1"/>
  <c r="J475" i="1" s="1"/>
  <c r="H625" i="1" s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J544" i="1" s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3" i="1"/>
  <c r="H626" i="1"/>
  <c r="H628" i="1"/>
  <c r="H629" i="1"/>
  <c r="H630" i="1"/>
  <c r="H632" i="1"/>
  <c r="G633" i="1"/>
  <c r="J633" i="1" s="1"/>
  <c r="H633" i="1"/>
  <c r="H634" i="1"/>
  <c r="H635" i="1"/>
  <c r="J635" i="1" s="1"/>
  <c r="H636" i="1"/>
  <c r="H637" i="1"/>
  <c r="G638" i="1"/>
  <c r="H638" i="1"/>
  <c r="G639" i="1"/>
  <c r="G642" i="1"/>
  <c r="H642" i="1"/>
  <c r="G643" i="1"/>
  <c r="H643" i="1"/>
  <c r="J643" i="1" s="1"/>
  <c r="H646" i="1"/>
  <c r="G648" i="1"/>
  <c r="J648" i="1" s="1"/>
  <c r="G649" i="1"/>
  <c r="G651" i="1"/>
  <c r="H651" i="1"/>
  <c r="G652" i="1"/>
  <c r="H652" i="1"/>
  <c r="G653" i="1"/>
  <c r="H653" i="1"/>
  <c r="H654" i="1"/>
  <c r="F191" i="1"/>
  <c r="G163" i="2"/>
  <c r="G159" i="2"/>
  <c r="F31" i="2"/>
  <c r="C26" i="10"/>
  <c r="L350" i="1"/>
  <c r="L289" i="1"/>
  <c r="F659" i="1" s="1"/>
  <c r="A31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80" i="2"/>
  <c r="F77" i="2"/>
  <c r="F80" i="2" s="1"/>
  <c r="F61" i="2"/>
  <c r="F62" i="2" s="1"/>
  <c r="G156" i="2"/>
  <c r="F18" i="2"/>
  <c r="G157" i="2"/>
  <c r="G155" i="2"/>
  <c r="E143" i="2"/>
  <c r="G102" i="2"/>
  <c r="E102" i="2"/>
  <c r="C102" i="2"/>
  <c r="F90" i="2"/>
  <c r="E61" i="2"/>
  <c r="E62" i="2" s="1"/>
  <c r="E31" i="2"/>
  <c r="G61" i="2"/>
  <c r="D29" i="13"/>
  <c r="C29" i="13" s="1"/>
  <c r="D19" i="13"/>
  <c r="C19" i="13" s="1"/>
  <c r="E13" i="13"/>
  <c r="C13" i="13" s="1"/>
  <c r="E77" i="2"/>
  <c r="E80" i="2" s="1"/>
  <c r="L426" i="1"/>
  <c r="H111" i="1"/>
  <c r="F111" i="1"/>
  <c r="J638" i="1"/>
  <c r="K604" i="1"/>
  <c r="G647" i="1" s="1"/>
  <c r="J570" i="1"/>
  <c r="K570" i="1"/>
  <c r="L418" i="1"/>
  <c r="I168" i="1"/>
  <c r="H168" i="1"/>
  <c r="J642" i="1"/>
  <c r="I475" i="1"/>
  <c r="H624" i="1" s="1"/>
  <c r="J139" i="1"/>
  <c r="F570" i="1"/>
  <c r="I551" i="1"/>
  <c r="K548" i="1"/>
  <c r="K549" i="1"/>
  <c r="K544" i="1"/>
  <c r="C29" i="10"/>
  <c r="H139" i="1"/>
  <c r="L400" i="1"/>
  <c r="C138" i="2" s="1"/>
  <c r="L392" i="1"/>
  <c r="F22" i="13"/>
  <c r="H25" i="13"/>
  <c r="C25" i="13" s="1"/>
  <c r="H570" i="1"/>
  <c r="L559" i="1"/>
  <c r="H191" i="1"/>
  <c r="C35" i="10"/>
  <c r="L308" i="1"/>
  <c r="D5" i="13"/>
  <c r="C5" i="13" s="1"/>
  <c r="E16" i="13"/>
  <c r="C16" i="13" s="1"/>
  <c r="J654" i="1"/>
  <c r="L569" i="1"/>
  <c r="I570" i="1"/>
  <c r="G36" i="2"/>
  <c r="L564" i="1"/>
  <c r="G544" i="1"/>
  <c r="C22" i="13"/>
  <c r="C137" i="2"/>
  <c r="G624" i="1" l="1"/>
  <c r="J624" i="1" s="1"/>
  <c r="F49" i="2"/>
  <c r="D14" i="13"/>
  <c r="C14" i="13" s="1"/>
  <c r="C18" i="2"/>
  <c r="A13" i="12"/>
  <c r="L543" i="1"/>
  <c r="L544" i="1" s="1"/>
  <c r="I544" i="1"/>
  <c r="H544" i="1"/>
  <c r="K550" i="1"/>
  <c r="K551" i="1" s="1"/>
  <c r="H33" i="13"/>
  <c r="C131" i="2"/>
  <c r="K270" i="1"/>
  <c r="H460" i="1"/>
  <c r="H640" i="1" s="1"/>
  <c r="I460" i="1"/>
  <c r="H641" i="1" s="1"/>
  <c r="J640" i="1"/>
  <c r="I445" i="1"/>
  <c r="G641" i="1" s="1"/>
  <c r="I660" i="1"/>
  <c r="D144" i="2"/>
  <c r="G621" i="1"/>
  <c r="C31" i="2"/>
  <c r="C50" i="2" s="1"/>
  <c r="K597" i="1"/>
  <c r="G646" i="1" s="1"/>
  <c r="C17" i="10"/>
  <c r="H661" i="1"/>
  <c r="I661" i="1" s="1"/>
  <c r="C19" i="10"/>
  <c r="J337" i="1"/>
  <c r="J351" i="1" s="1"/>
  <c r="C18" i="10"/>
  <c r="E117" i="2"/>
  <c r="E127" i="2" s="1"/>
  <c r="K337" i="1"/>
  <c r="K351" i="1" s="1"/>
  <c r="E111" i="2"/>
  <c r="E114" i="2" s="1"/>
  <c r="L327" i="1"/>
  <c r="L337" i="1" s="1"/>
  <c r="L351" i="1" s="1"/>
  <c r="G632" i="1" s="1"/>
  <c r="J632" i="1" s="1"/>
  <c r="C124" i="2"/>
  <c r="C21" i="10"/>
  <c r="G650" i="1"/>
  <c r="J650" i="1" s="1"/>
  <c r="J646" i="1"/>
  <c r="C121" i="2"/>
  <c r="E33" i="13"/>
  <c r="D35" i="13" s="1"/>
  <c r="C127" i="2"/>
  <c r="J256" i="1"/>
  <c r="J270" i="1" s="1"/>
  <c r="L255" i="1"/>
  <c r="I256" i="1"/>
  <c r="I270" i="1" s="1"/>
  <c r="F256" i="1"/>
  <c r="F270" i="1" s="1"/>
  <c r="C109" i="2"/>
  <c r="C114" i="2" s="1"/>
  <c r="L246" i="1"/>
  <c r="G644" i="1"/>
  <c r="J644" i="1" s="1"/>
  <c r="F671" i="1"/>
  <c r="C4" i="10" s="1"/>
  <c r="F666" i="1"/>
  <c r="C80" i="2"/>
  <c r="C61" i="2"/>
  <c r="C62" i="2" s="1"/>
  <c r="F50" i="2"/>
  <c r="E50" i="2"/>
  <c r="J623" i="1"/>
  <c r="D31" i="2"/>
  <c r="D50" i="2" s="1"/>
  <c r="H51" i="1"/>
  <c r="H618" i="1" s="1"/>
  <c r="J618" i="1" s="1"/>
  <c r="G51" i="1"/>
  <c r="H617" i="1" s="1"/>
  <c r="J617" i="1" s="1"/>
  <c r="J616" i="1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G42" i="2"/>
  <c r="J50" i="1"/>
  <c r="G16" i="2"/>
  <c r="J19" i="1"/>
  <c r="G620" i="1" s="1"/>
  <c r="G18" i="2"/>
  <c r="F544" i="1"/>
  <c r="H433" i="1"/>
  <c r="J619" i="1"/>
  <c r="D102" i="2"/>
  <c r="D103" i="2" s="1"/>
  <c r="I139" i="1"/>
  <c r="I192" i="1" s="1"/>
  <c r="G629" i="1" s="1"/>
  <c r="J629" i="1" s="1"/>
  <c r="A22" i="12"/>
  <c r="G49" i="2"/>
  <c r="C103" i="2"/>
  <c r="J651" i="1"/>
  <c r="J641" i="1"/>
  <c r="G570" i="1"/>
  <c r="I433" i="1"/>
  <c r="G433" i="1"/>
  <c r="E103" i="2"/>
  <c r="I662" i="1"/>
  <c r="C27" i="10"/>
  <c r="G634" i="1"/>
  <c r="J634" i="1" s="1"/>
  <c r="G50" i="2" l="1"/>
  <c r="L407" i="1"/>
  <c r="G636" i="1" s="1"/>
  <c r="J636" i="1" s="1"/>
  <c r="H645" i="1"/>
  <c r="G671" i="1"/>
  <c r="C5" i="10" s="1"/>
  <c r="E144" i="2"/>
  <c r="D31" i="13"/>
  <c r="C31" i="13" s="1"/>
  <c r="F33" i="13"/>
  <c r="H647" i="1"/>
  <c r="J647" i="1" s="1"/>
  <c r="L256" i="1"/>
  <c r="L270" i="1" s="1"/>
  <c r="F471" i="1" s="1"/>
  <c r="C28" i="10"/>
  <c r="D24" i="10" s="1"/>
  <c r="C144" i="2"/>
  <c r="H659" i="1"/>
  <c r="G630" i="1"/>
  <c r="J630" i="1" s="1"/>
  <c r="D33" i="13"/>
  <c r="D36" i="13" s="1"/>
  <c r="J645" i="1"/>
  <c r="G192" i="1"/>
  <c r="G625" i="1"/>
  <c r="J625" i="1" s="1"/>
  <c r="J51" i="1"/>
  <c r="H620" i="1" s="1"/>
  <c r="J620" i="1" s="1"/>
  <c r="C38" i="10"/>
  <c r="G627" i="1" l="1"/>
  <c r="G467" i="1"/>
  <c r="G631" i="1"/>
  <c r="D26" i="10"/>
  <c r="D10" i="10"/>
  <c r="D19" i="10"/>
  <c r="D15" i="10"/>
  <c r="D27" i="10"/>
  <c r="C30" i="10"/>
  <c r="D20" i="10"/>
  <c r="D25" i="10"/>
  <c r="D16" i="10"/>
  <c r="D18" i="10"/>
  <c r="D17" i="10"/>
  <c r="D12" i="10"/>
  <c r="D23" i="10"/>
  <c r="D13" i="10"/>
  <c r="D11" i="10"/>
  <c r="D21" i="10"/>
  <c r="D22" i="10"/>
  <c r="H663" i="1"/>
  <c r="I659" i="1"/>
  <c r="I663" i="1" s="1"/>
  <c r="I671" i="1" s="1"/>
  <c r="C7" i="10" s="1"/>
  <c r="C41" i="10"/>
  <c r="D38" i="10" s="1"/>
  <c r="G469" i="1" l="1"/>
  <c r="G475" i="1" s="1"/>
  <c r="H622" i="1" s="1"/>
  <c r="J622" i="1" s="1"/>
  <c r="H627" i="1"/>
  <c r="J627" i="1" s="1"/>
  <c r="F473" i="1"/>
  <c r="F475" i="1" s="1"/>
  <c r="H621" i="1" s="1"/>
  <c r="H631" i="1"/>
  <c r="J631" i="1" s="1"/>
  <c r="D28" i="10"/>
  <c r="I666" i="1"/>
  <c r="H666" i="1"/>
  <c r="H671" i="1"/>
  <c r="C6" i="10" s="1"/>
  <c r="D37" i="10"/>
  <c r="D36" i="10"/>
  <c r="D35" i="10"/>
  <c r="D40" i="10"/>
  <c r="D39" i="10"/>
  <c r="J621" i="1" l="1"/>
  <c r="H655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<sst xmlns="http://schemas.openxmlformats.org/spreadsheetml/2006/main" count="3954" uniqueCount="918">
  <si>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</si>
  <si>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</si>
  <si>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</si>
  <si>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</si>
  <si>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</si>
  <si>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</si>
  <si>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</si>
  <si>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</si>
  <si>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</si>
  <si>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</si>
  <si>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</si>
  <si>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</si>
  <si>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</si>
  <si>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</si>
  <si>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</si>
  <si>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</si>
  <si>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</si>
  <si>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</si>
  <si>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</si>
  <si>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</si>
  <si>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</si>
  <si>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</si>
  <si>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</si>
  <si>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</si>
  <si>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</si>
  <si>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</si>
  <si>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</si>
  <si>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</si>
  <si>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</si>
  <si>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</si>
  <si>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</si>
  <si>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</si>
  <si>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</si>
  <si>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</si>
  <si>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</si>
  <si>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</si>
  <si>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</si>
  <si>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</si>
  <si>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</si>
  <si>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</si>
  <si>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</si>
  <si>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</si>
  <si>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</si>
  <si>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</si>
  <si>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</si>
  <si>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</si>
  <si>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</si>
  <si>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</si>
  <si>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</si>
  <si>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</si>
  <si>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</si>
  <si>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</si>
  <si>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</si>
  <si>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</si>
  <si>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</si>
  <si>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</si>
  <si>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</si>
  <si>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</si>
  <si>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</si>
  <si>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</si>
  <si>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</si>
  <si>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</si>
  <si>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</si>
  <si>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</si>
  <si>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</si>
  <si>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</si>
  <si>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</si>
  <si>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</si>
  <si>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</si>
  <si>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</si>
  <si>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</si>
  <si>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</si>
  <si>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</si>
  <si>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</si>
  <si>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</si>
  <si>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</si>
  <si>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</si>
  <si>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</si>
  <si>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</si>
  <si>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</si>
  <si>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</si>
  <si>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</si>
  <si>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</si>
  <si>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</si>
  <si>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</si>
  <si>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</si>
  <si>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</si>
  <si>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</si>
  <si>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</si>
  <si>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</si>
  <si>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</si>
  <si>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</si>
  <si>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</si>
  <si>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</si>
  <si>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</si>
  <si>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</si>
  <si>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</si>
  <si>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</si>
  <si>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</si>
  <si>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</si>
  <si>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</si>
  <si>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</si>
  <si>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</si>
  <si>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</si>
  <si>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</si>
  <si>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</si>
  <si>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</si>
  <si>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</si>
  <si>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</si>
  <si>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</si>
  <si>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</si>
  <si>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</si>
  <si>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</si>
  <si>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</si>
  <si>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</si>
  <si>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</si>
  <si>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</si>
  <si>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</si>
  <si>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</si>
  <si>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</si>
  <si>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</si>
  <si>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</si>
  <si>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</si>
  <si>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</si>
  <si>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</si>
  <si>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</si>
  <si>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</si>
  <si>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</si>
  <si>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</si>
  <si>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</si>
  <si>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</si>
  <si>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</si>
  <si>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</si>
  <si>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</si>
  <si>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</si>
  <si>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</si>
  <si>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</si>
  <si>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</si>
  <si>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</si>
  <si>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</si>
  <si>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</si>
  <si>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</si>
  <si>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</si>
  <si>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</si>
  <si>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</si>
  <si>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</si>
  <si>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</si>
  <si>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</si>
  <si>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</si>
  <si>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</si>
  <si>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</si>
  <si>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</si>
  <si>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</si>
  <si>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</si>
  <si>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</si>
  <si>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</si>
  <si>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</si>
  <si>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</si>
  <si>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</si>
  <si>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</si>
  <si>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</si>
  <si>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</si>
  <si>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</si>
  <si>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</si>
  <si>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</si>
  <si>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</si>
  <si>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</si>
  <si>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</si>
  <si>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</si>
  <si>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</si>
  <si>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</si>
  <si>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</si>
  <si>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</si>
  <si>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</si>
  <si>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</si>
  <si>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</si>
  <si>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</si>
  <si>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</si>
  <si>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</si>
  <si>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</si>
  <si>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</si>
  <si>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</si>
  <si>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</si>
  <si>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</si>
  <si>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</si>
  <si>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</si>
  <si>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</si>
  <si>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</si>
  <si>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</si>
  <si>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</si>
  <si>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</si>
  <si>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</si>
  <si>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</si>
  <si>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</si>
  <si>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</si>
  <si>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</si>
  <si>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</si>
  <si>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</si>
  <si>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</si>
  <si>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</si>
  <si>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</si>
  <si>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</si>
  <si>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</si>
  <si>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</si>
  <si>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</si>
  <si>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</si>
  <si>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</si>
  <si>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</si>
  <si>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</si>
  <si>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</si>
  <si>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</si>
  <si>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</si>
  <si>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</si>
  <si>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</si>
  <si>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</si>
  <si>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</si>
  <si>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</si>
  <si>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</si>
  <si>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</si>
  <si>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</si>
  <si>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</si>
  <si>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</si>
  <si>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</si>
  <si>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</si>
  <si>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</si>
  <si>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</si>
  <si>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</si>
  <si>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</si>
  <si>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</si>
  <si>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</si>
  <si>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</si>
  <si>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</si>
  <si>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</si>
  <si>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</si>
  <si>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</si>
  <si>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</si>
  <si>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</si>
  <si>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</si>
  <si>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</si>
  <si>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</si>
  <si>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</si>
  <si>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</si>
  <si>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</si>
  <si>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</si>
  <si>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</si>
  <si>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</si>
  <si>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</si>
  <si>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</si>
  <si>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</si>
  <si>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</si>
  <si>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</si>
  <si>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</si>
  <si>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</si>
  <si>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</si>
  <si>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</si>
  <si>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</si>
  <si>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</si>
  <si>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</si>
  <si>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</si>
  <si>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</si>
  <si>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</si>
  <si>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</si>
  <si>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</si>
  <si>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</si>
  <si>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</si>
  <si>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</si>
  <si>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</si>
  <si>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</si>
  <si>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</si>
  <si>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</si>
  <si>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</si>
  <si>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</si>
  <si>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</si>
  <si>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</si>
  <si>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</si>
  <si>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</si>
  <si>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</si>
  <si>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</si>
  <si>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</si>
  <si>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</si>
  <si>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</si>
  <si>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</si>
  <si>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</si>
  <si>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</si>
  <si>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</si>
  <si>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</si>
  <si>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</si>
  <si>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</si>
  <si>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</si>
  <si>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</si>
  <si>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</si>
  <si>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</si>
  <si>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</si>
  <si>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</si>
  <si>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</si>
  <si>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</si>
  <si>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</si>
  <si>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</si>
  <si>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</si>
  <si>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</si>
  <si>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</si>
  <si>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</si>
  <si>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</si>
  <si>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</si>
  <si>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</si>
  <si>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</si>
  <si>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</si>
  <si>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</si>
  <si>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</si>
  <si>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</si>
  <si>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</si>
  <si>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</si>
  <si>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</si>
  <si>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</si>
  <si>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</si>
  <si>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</si>
  <si>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</si>
  <si>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</si>
  <si>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</si>
  <si>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</si>
  <si>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</si>
  <si>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</si>
  <si>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</si>
  <si>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</si>
  <si>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</si>
  <si>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</si>
  <si>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</si>
  <si>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</si>
  <si>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</si>
  <si>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</si>
  <si>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</si>
  <si>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</si>
  <si>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</si>
  <si>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</si>
  <si>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</si>
  <si>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</si>
  <si>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</si>
  <si>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</si>
  <si>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</si>
  <si>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</si>
  <si>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</si>
  <si>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</si>
  <si>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</si>
  <si>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</si>
  <si>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</si>
  <si>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</si>
  <si>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</si>
  <si>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</si>
  <si>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</si>
  <si>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</si>
  <si>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</si>
  <si>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</si>
  <si>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</si>
  <si>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</si>
  <si>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</si>
  <si>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</si>
  <si>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</si>
  <si>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</si>
  <si>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</si>
  <si>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</si>
  <si>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</si>
  <si>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</si>
  <si>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</si>
  <si>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</si>
  <si>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</si>
  <si>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</si>
  <si>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</si>
  <si>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</si>
  <si>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</si>
  <si>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</si>
  <si>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</si>
  <si>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</si>
  <si>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</si>
  <si>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</si>
  <si>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</si>
  <si>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</si>
  <si>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</si>
  <si>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</si>
  <si>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</si>
  <si>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</si>
  <si>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</si>
  <si>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</si>
  <si>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</si>
  <si>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</si>
  <si>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</si>
  <si>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</si>
  <si>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</si>
  <si>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</si>
  <si>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</si>
  <si>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</si>
  <si>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</si>
  <si>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</si>
  <si>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</si>
  <si>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</si>
  <si>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</si>
  <si>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</si>
  <si>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</si>
  <si>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</si>
  <si>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</si>
  <si>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</si>
  <si>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</si>
  <si>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</si>
  <si>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</si>
  <si>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</si>
  <si>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</si>
  <si>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</si>
  <si>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</si>
  <si>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</si>
  <si>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</si>
  <si>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</si>
  <si>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</si>
  <si>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</si>
  <si>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</si>
  <si>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</si>
  <si>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</si>
  <si>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</si>
  <si>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</si>
  <si>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</si>
  <si>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</si>
  <si>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</si>
  <si>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</si>
  <si>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</si>
  <si>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</si>
  <si>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</si>
  <si>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</si>
  <si>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</si>
  <si>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</si>
  <si>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</si>
  <si>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</si>
  <si>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</si>
  <si>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</si>
  <si>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</si>
  <si>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</si>
  <si>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</si>
  <si>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</si>
  <si>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</si>
  <si>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</si>
  <si>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</si>
  <si>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</si>
  <si>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</si>
  <si>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</si>
  <si>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</si>
  <si>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</si>
  <si>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</si>
  <si>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</si>
  <si>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</si>
  <si>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</si>
  <si>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</si>
  <si>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</si>
  <si>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</si>
  <si>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</si>
  <si>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</si>
  <si>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</si>
  <si>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</si>
  <si>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</si>
  <si>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</si>
  <si>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</si>
  <si>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</si>
  <si>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</si>
  <si>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</si>
  <si>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</si>
  <si>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</si>
  <si>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</si>
  <si>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</si>
  <si>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</si>
  <si>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</si>
  <si>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</si>
  <si>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</si>
  <si>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</si>
  <si>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</si>
  <si>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</si>
  <si>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</si>
  <si>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</si>
  <si>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</si>
  <si>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</si>
  <si>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</si>
  <si>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</si>
  <si>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</si>
  <si>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</si>
  <si>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</si>
  <si>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</si>
  <si>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</si>
  <si>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</si>
  <si>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</si>
  <si>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</si>
  <si>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</si>
  <si>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</si>
  <si>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</si>
  <si>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</si>
  <si>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</si>
  <si>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</si>
  <si>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</si>
  <si>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</si>
  <si>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</si>
  <si>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</si>
  <si>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</si>
  <si>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</si>
  <si>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</si>
  <si>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</si>
  <si>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</si>
  <si>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</si>
  <si>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</si>
  <si>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</si>
  <si>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</si>
  <si>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</si>
  <si>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</si>
  <si>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</si>
  <si>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</si>
  <si>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</si>
  <si>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</si>
  <si>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</si>
  <si>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</si>
  <si>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</si>
  <si>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</si>
  <si>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</si>
  <si>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</si>
  <si>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</si>
  <si>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</si>
  <si>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</si>
  <si>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</si>
  <si>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</si>
  <si>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</si>
  <si>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</si>
  <si>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</si>
  <si>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</si>
  <si>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</si>
  <si>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</si>
  <si>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</si>
  <si>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</si>
  <si>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</si>
  <si>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</si>
  <si>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</si>
  <si>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</si>
  <si>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</si>
  <si>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</si>
  <si>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</si>
  <si>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</si>
  <si>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</si>
  <si>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</si>
  <si>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</si>
  <si>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</si>
  <si>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</si>
  <si>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</si>
  <si>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</si>
  <si>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</si>
  <si>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</si>
  <si>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</si>
  <si>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</si>
  <si>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</si>
  <si>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</si>
  <si>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</si>
  <si>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</si>
  <si>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</si>
  <si>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</si>
  <si>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</si>
  <si>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</si>
  <si>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</si>
  <si>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</si>
  <si>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</si>
  <si>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</si>
  <si>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</si>
  <si>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</si>
  <si>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</si>
  <si>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</si>
  <si>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</si>
  <si>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</si>
  <si>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</si>
  <si>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</si>
  <si>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</si>
  <si>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</si>
  <si>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</si>
  <si>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</si>
  <si>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</si>
  <si>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</si>
  <si>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</si>
  <si>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</si>
  <si>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</si>
  <si>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</si>
  <si>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</si>
  <si>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</si>
  <si>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</si>
  <si>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</si>
  <si>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</si>
  <si>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</si>
  <si>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</si>
  <si>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</si>
  <si>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</si>
  <si>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</si>
  <si>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</si>
  <si>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</si>
  <si>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</si>
  <si>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</si>
  <si>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</si>
  <si>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</si>
  <si>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</si>
  <si>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</si>
  <si>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</si>
  <si>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</si>
  <si>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</si>
  <si>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</si>
  <si>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</si>
  <si>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</si>
  <si>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</si>
  <si>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</si>
  <si>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</si>
  <si>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</si>
  <si>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</si>
  <si>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</si>
  <si>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</si>
  <si>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</si>
  <si>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</si>
  <si>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</si>
  <si>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</si>
  <si>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</si>
  <si>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</si>
  <si>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</si>
  <si>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</si>
  <si>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</si>
  <si>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</si>
  <si>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</si>
  <si>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</si>
  <si>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</si>
  <si>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</si>
  <si>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</si>
  <si>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</si>
  <si>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</si>
  <si>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</si>
  <si>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</si>
  <si>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</si>
  <si>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</si>
  <si>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</si>
  <si>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</si>
  <si>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</si>
  <si>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</si>
  <si>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</si>
  <si>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</si>
  <si>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</si>
  <si>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</si>
  <si>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</si>
  <si>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</si>
  <si>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</si>
  <si>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</si>
  <si>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</si>
  <si>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</si>
  <si>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</si>
  <si>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</si>
  <si>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</si>
  <si>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</si>
  <si>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</si>
  <si>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</si>
  <si>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</si>
  <si>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</si>
  <si>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</si>
  <si>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</si>
  <si>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</si>
  <si>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</si>
  <si>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</si>
  <si>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</si>
  <si>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</si>
  <si>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</si>
  <si>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</si>
  <si>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</si>
  <si>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</si>
  <si>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</si>
  <si>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</si>
  <si>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</si>
  <si>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</si>
  <si>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</si>
  <si>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</si>
  <si>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</si>
  <si>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</si>
  <si>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</si>
  <si>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</si>
  <si>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</si>
  <si>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</si>
  <si>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</si>
  <si>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</si>
  <si>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</si>
  <si>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</si>
  <si>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</si>
  <si>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</si>
  <si>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</si>
  <si>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</si>
  <si>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</si>
  <si>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</si>
  <si>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</si>
  <si>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</si>
  <si>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</si>
  <si>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</si>
  <si>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</si>
  <si>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</si>
  <si>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</si>
  <si>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</si>
  <si>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</si>
  <si>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</si>
  <si>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</si>
  <si>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</si>
  <si>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</si>
  <si>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</si>
  <si>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</si>
  <si>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</si>
  <si>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</si>
  <si>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</si>
  <si>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</si>
  <si>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</si>
  <si>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</si>
  <si>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</si>
  <si>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</si>
  <si>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</si>
  <si>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</si>
  <si>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</si>
  <si>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</si>
  <si>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</si>
  <si>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</si>
  <si>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</si>
  <si>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</si>
  <si>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</si>
  <si>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</si>
  <si>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</si>
  <si>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</si>
  <si>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</si>
  <si>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</si>
  <si>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</si>
  <si>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</si>
  <si>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</si>
  <si>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</si>
  <si>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</si>
  <si>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</si>
  <si>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</si>
  <si>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</si>
  <si>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</si>
  <si>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</si>
  <si>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</si>
  <si>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</si>
  <si>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</si>
  <si>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</si>
  <si>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</si>
  <si>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</si>
  <si>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</si>
  <si>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</si>
  <si>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</si>
  <si>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</si>
  <si>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</si>
  <si>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</si>
  <si>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</si>
  <si>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</si>
  <si>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</si>
  <si>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</si>
  <si>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</si>
  <si>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</si>
  <si>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</si>
  <si>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</si>
  <si>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</si>
  <si>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</si>
  <si>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</si>
  <si>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</si>
  <si>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</si>
  <si>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</si>
  <si>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</si>
  <si>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</si>
  <si>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</si>
  <si>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</si>
  <si>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</si>
  <si>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</si>
  <si>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</si>
  <si>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</si>
  <si>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</si>
  <si>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</si>
  <si>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</si>
  <si>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</si>
  <si>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</si>
  <si>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</si>
  <si>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</si>
  <si>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</si>
  <si>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</si>
  <si>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</si>
  <si>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</si>
  <si>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</si>
  <si>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</si>
  <si>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</si>
  <si>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</si>
  <si>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</si>
  <si>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</si>
  <si>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</si>
  <si>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</si>
  <si>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</si>
  <si>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</si>
  <si>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</si>
  <si>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</si>
  <si>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</si>
  <si>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</si>
  <si>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</si>
  <si>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</si>
  <si>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</si>
  <si>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</si>
  <si>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</si>
  <si>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</si>
  <si>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</si>
  <si>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</si>
  <si>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</si>
  <si>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</si>
  <si>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</si>
  <si>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</si>
  <si>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</si>
  <si>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</si>
  <si>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</si>
  <si>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</si>
  <si>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</si>
  <si>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</si>
  <si>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</si>
  <si>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</si>
  <si>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</si>
  <si>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</si>
  <si>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</si>
  <si>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</si>
  <si>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</si>
  <si>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</si>
  <si>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</si>
  <si>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</si>
  <si>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</si>
  <si>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</si>
  <si>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</si>
  <si>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</si>
  <si>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</si>
  <si>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</si>
  <si>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</si>
  <si>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</si>
  <si>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</si>
  <si>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</si>
  <si>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</si>
  <si>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</si>
  <si>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</si>
  <si>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</si>
  <si>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</si>
  <si>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</si>
  <si>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</si>
  <si>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</si>
  <si>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</si>
  <si>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</si>
  <si>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</si>
  <si>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</si>
  <si>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</si>
  <si>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</si>
  <si>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</si>
  <si>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</si>
  <si>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</si>
  <si>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</si>
  <si>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</si>
  <si>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</si>
  <si>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</si>
  <si>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</si>
  <si>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</si>
  <si>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</si>
  <si>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</si>
  <si>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</si>
  <si>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</si>
  <si>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</si>
  <si>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</si>
  <si>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</si>
  <si>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</si>
  <si>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</si>
  <si>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</si>
  <si>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</si>
  <si>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</si>
  <si>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</si>
  <si>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</si>
  <si>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</si>
  <si>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</si>
  <si>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</si>
  <si>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</si>
  <si>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</si>
  <si>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</si>
  <si>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</si>
  <si>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</si>
  <si>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</si>
  <si>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</si>
  <si>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</si>
  <si>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</si>
  <si>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</si>
  <si>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</si>
  <si>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</si>
  <si>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</si>
  <si>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</si>
  <si>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</si>
  <si>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</si>
  <si>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</si>
  <si>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</si>
  <si>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</si>
  <si>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</si>
  <si>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</si>
  <si>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</si>
  <si>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</si>
  <si>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</si>
  <si>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</si>
  <si>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</si>
  <si>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</si>
  <si>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</si>
  <si>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</si>
  <si>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</si>
  <si>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</si>
  <si>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</si>
  <si>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</si>
  <si>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</si>
  <si>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</si>
  <si>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</si>
  <si>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</si>
  <si>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</si>
  <si>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</si>
  <si>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</si>
  <si>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SOUHEGAN COOPERATIVE SCHOOL DISTRICT</t>
  </si>
  <si>
    <t>AGENCY FUNDS</t>
  </si>
  <si>
    <t>GJEs posted after DOE- 25 submitted</t>
  </si>
  <si>
    <t>FY 12 Audit Adjustments for GF</t>
  </si>
  <si>
    <t>FY12 Audit Adjustments for FS</t>
  </si>
  <si>
    <t xml:space="preserve">Building Aid - Souhegan received an extra 79,580.58 in their October payment.  They received the identical amount that </t>
  </si>
  <si>
    <t xml:space="preserve"> Somersworth received in Octber 2012.  The money has since been return - will need to check vendor payments FY2014.</t>
  </si>
  <si>
    <t>06/02</t>
  </si>
  <si>
    <t>07/12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</si>
</sst>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493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296389.98</v>
      </c>
      <c r="G9" s="18">
        <v>0</v>
      </c>
      <c r="H9" s="18">
        <v>0</v>
      </c>
      <c r="I9" s="18">
        <v>50.01</v>
      </c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649552.16</v>
      </c>
      <c r="G10" s="18">
        <v>0</v>
      </c>
      <c r="H10" s="18">
        <v>0</v>
      </c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239407.38-18400.26</f>
        <v>221007.12</v>
      </c>
      <c r="G12" s="18">
        <v>1183.3900000000001</v>
      </c>
      <c r="H12" s="18">
        <v>0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22179.57</v>
      </c>
      <c r="G13" s="18">
        <v>10665.99</v>
      </c>
      <c r="H13" s="18">
        <v>134021.5</v>
      </c>
      <c r="I13" s="18"/>
      <c r="J13" s="67">
        <f>SUM(I441)</f>
        <v>592061.9800000001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3479.88</v>
      </c>
      <c r="G14" s="18">
        <v>555.23</v>
      </c>
      <c r="H14" s="18">
        <v>0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14270</v>
      </c>
      <c r="G17" s="18">
        <v>0</v>
      </c>
      <c r="H17" s="18">
        <v>0</v>
      </c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1206878.71</v>
      </c>
      <c r="G19" s="41">
        <f>SUM(G9:G18)</f>
        <v>12404.609999999999</v>
      </c>
      <c r="H19" s="41">
        <f>SUM(H9:H18)</f>
        <v>134021.5</v>
      </c>
      <c r="I19" s="41">
        <f>SUM(I9:I18)</f>
        <v>50.01</v>
      </c>
      <c r="J19" s="41">
        <f>SUM(J9:J18)</f>
        <v>592061.9800000001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79957.039999999994</v>
      </c>
      <c r="G22" s="18"/>
      <c r="H22" s="18">
        <v>117369.32</v>
      </c>
      <c r="I22" s="18">
        <v>50</v>
      </c>
      <c r="J22" s="67">
        <f>SUM(I447)</f>
        <v>24814.15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11639.19</v>
      </c>
      <c r="G23" s="18">
        <v>10661.95</v>
      </c>
      <c r="H23" s="18">
        <v>0</v>
      </c>
      <c r="I23" s="18"/>
      <c r="J23" s="67">
        <f>SUM(I448)</f>
        <v>621.41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390676.76+6018.96</f>
        <v>396695.72000000003</v>
      </c>
      <c r="G24" s="18">
        <v>1742.66</v>
      </c>
      <c r="H24" s="18">
        <v>766.97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12519.23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12549.67</v>
      </c>
      <c r="G29" s="18">
        <v>0</v>
      </c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4746.4799999999996</v>
      </c>
      <c r="G30" s="18">
        <v>0</v>
      </c>
      <c r="H30" s="18">
        <v>15885.21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228.02</v>
      </c>
      <c r="G31" s="18">
        <v>0</v>
      </c>
      <c r="H31" s="18">
        <v>0</v>
      </c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518335.35</v>
      </c>
      <c r="G32" s="41">
        <f>SUM(G22:G31)</f>
        <v>12404.61</v>
      </c>
      <c r="H32" s="41">
        <f>SUM(H22:H31)</f>
        <v>134021.5</v>
      </c>
      <c r="I32" s="41">
        <f>SUM(I22:I31)</f>
        <v>50</v>
      </c>
      <c r="J32" s="41">
        <f>SUM(J22:J31)</f>
        <v>25435.56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>
        <v>0</v>
      </c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/>
      <c r="H44" s="18">
        <v>0</v>
      </c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/>
      <c r="H45" s="18">
        <v>0</v>
      </c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f>-1461+1461</f>
        <v>0</v>
      </c>
      <c r="H47" s="18">
        <v>0</v>
      </c>
      <c r="I47" s="18">
        <v>0.01</v>
      </c>
      <c r="J47" s="13">
        <f>SUM(I458)</f>
        <v>401100.66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24379.88</v>
      </c>
      <c r="G48" s="18"/>
      <c r="H48" s="18"/>
      <c r="I48" s="18"/>
      <c r="J48" s="13">
        <f>I453</f>
        <v>165525.76000000001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38068.85+730470.89-79957.04-18400.26-6018.96</f>
        <v>664163.48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688543.36</v>
      </c>
      <c r="G50" s="41">
        <f>SUM(G35:G49)</f>
        <v>0</v>
      </c>
      <c r="H50" s="41">
        <f>SUM(H35:H49)</f>
        <v>0</v>
      </c>
      <c r="I50" s="41">
        <f>SUM(I35:I49)</f>
        <v>0.01</v>
      </c>
      <c r="J50" s="41">
        <f>SUM(J35:J49)</f>
        <v>566626.41999999993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1206878.71</v>
      </c>
      <c r="G51" s="41">
        <f>G50+G32</f>
        <v>12404.61</v>
      </c>
      <c r="H51" s="41">
        <f>H50+H32</f>
        <v>134021.5</v>
      </c>
      <c r="I51" s="41">
        <f>I50+I32</f>
        <v>50.01</v>
      </c>
      <c r="J51" s="41">
        <f>J50+J32</f>
        <v>592061.98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13195130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13195130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55035.26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2715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13986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16816.8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88553.060000000012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3687.13</v>
      </c>
      <c r="G95" s="18"/>
      <c r="H95" s="18"/>
      <c r="I95" s="18">
        <v>0.01</v>
      </c>
      <c r="J95" s="18">
        <v>80464.539999999994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360472.12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153775.56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1797.5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/>
      <c r="H101" s="18">
        <v>3212.1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>
        <v>0</v>
      </c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3023.98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4762.59</v>
      </c>
      <c r="G108" s="18">
        <v>235</v>
      </c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86.1</v>
      </c>
      <c r="G109" s="18">
        <v>3152.71</v>
      </c>
      <c r="H109" s="18"/>
      <c r="I109" s="18"/>
      <c r="J109" s="18">
        <v>21238.39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167132.86000000002</v>
      </c>
      <c r="G110" s="41">
        <f>SUM(G95:G109)</f>
        <v>363859.83</v>
      </c>
      <c r="H110" s="41">
        <f>SUM(H95:H109)</f>
        <v>3212.1</v>
      </c>
      <c r="I110" s="41">
        <f>SUM(I95:I109)</f>
        <v>0.01</v>
      </c>
      <c r="J110" s="41">
        <f>SUM(J95:J109)</f>
        <v>101702.93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13450815.92</v>
      </c>
      <c r="G111" s="41">
        <f>G59+G110</f>
        <v>363859.83</v>
      </c>
      <c r="H111" s="41">
        <f>H59+H78+H93+H110</f>
        <v>3212.1</v>
      </c>
      <c r="I111" s="41">
        <f>I59+I110</f>
        <v>0.01</v>
      </c>
      <c r="J111" s="41">
        <f>J59+J110</f>
        <v>101702.93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2031116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1616545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3647661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357280.89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304067.27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2197.81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1041.0899999999999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663545.97000000009</v>
      </c>
      <c r="G135" s="41">
        <f>SUM(G122:G134)</f>
        <v>1041.0899999999999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4311206.97</v>
      </c>
      <c r="G139" s="41">
        <f>G120+SUM(G135:G136)</f>
        <v>1041.0899999999999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12</v>
      </c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12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21271.91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15396.76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32454.59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223672.44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73556.88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73556.88</v>
      </c>
      <c r="G161" s="41">
        <f>SUM(G149:G160)</f>
        <v>32454.59</v>
      </c>
      <c r="H161" s="41">
        <f>SUM(H149:H160)</f>
        <v>260341.11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73568.88</v>
      </c>
      <c r="G168" s="41">
        <f>G146+G161+SUM(G162:G167)</f>
        <v>32454.59</v>
      </c>
      <c r="H168" s="41">
        <f>H146+H161+SUM(H162:H167)</f>
        <v>260341.11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f>15000+18400.26</f>
        <v>33400.259999999995</v>
      </c>
      <c r="H178" s="18"/>
      <c r="I178" s="18"/>
      <c r="J178" s="18">
        <v>65000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33400.259999999995</v>
      </c>
      <c r="H182" s="41">
        <f>SUM(H178:H181)</f>
        <v>0</v>
      </c>
      <c r="I182" s="41">
        <f>SUM(I178:I181)</f>
        <v>0</v>
      </c>
      <c r="J182" s="41">
        <f>SUM(J178:J181)</f>
        <v>65000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33400.259999999995</v>
      </c>
      <c r="H191" s="41">
        <f>+H182+SUM(H187:H190)</f>
        <v>0</v>
      </c>
      <c r="I191" s="41">
        <f>I176+I182+SUM(I187:I190)</f>
        <v>0</v>
      </c>
      <c r="J191" s="41">
        <f>J182</f>
        <v>65000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17835591.77</v>
      </c>
      <c r="G192" s="47">
        <f>G111+G139+G168+G191</f>
        <v>430755.77000000008</v>
      </c>
      <c r="H192" s="47">
        <f>H111+H139+H168+H191</f>
        <v>263553.20999999996</v>
      </c>
      <c r="I192" s="47">
        <f>I111+I139+I168+I191</f>
        <v>0.01</v>
      </c>
      <c r="J192" s="47">
        <f>J111+J139+J191</f>
        <v>166702.93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/>
      <c r="I196" s="18"/>
      <c r="J196" s="18"/>
      <c r="K196" s="18"/>
      <c r="L196" s="19">
        <f>SUM(F196:K196)</f>
        <v>0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0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0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5347454.33</v>
      </c>
      <c r="G232" s="18">
        <v>1875519.03</v>
      </c>
      <c r="H232" s="18">
        <v>18385.099999999999</v>
      </c>
      <c r="I232" s="18">
        <v>152516.54999999999</v>
      </c>
      <c r="J232" s="18">
        <v>191065.51</v>
      </c>
      <c r="K232" s="18">
        <v>2771</v>
      </c>
      <c r="L232" s="19">
        <f>SUM(F232:K232)</f>
        <v>7587711.5199999996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1748653.92</v>
      </c>
      <c r="G233" s="18">
        <v>700737.48</v>
      </c>
      <c r="H233" s="18">
        <v>900525.88</v>
      </c>
      <c r="I233" s="18">
        <f>9500.72+59.05</f>
        <v>9559.7699999999986</v>
      </c>
      <c r="J233" s="18">
        <v>9743.3799999999992</v>
      </c>
      <c r="K233" s="18">
        <v>0</v>
      </c>
      <c r="L233" s="19">
        <f>SUM(F233:K233)</f>
        <v>3369220.4299999997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182066.97</v>
      </c>
      <c r="G235" s="18">
        <v>22134.85</v>
      </c>
      <c r="H235" s="18">
        <v>161543.97</v>
      </c>
      <c r="I235" s="18">
        <v>73246.97</v>
      </c>
      <c r="J235" s="18">
        <v>0</v>
      </c>
      <c r="K235" s="18">
        <v>6011.13</v>
      </c>
      <c r="L235" s="19">
        <f>SUM(F235:K235)</f>
        <v>445003.89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670274.80000000005</v>
      </c>
      <c r="G237" s="18">
        <v>242009.88</v>
      </c>
      <c r="H237" s="18">
        <v>101744.16</v>
      </c>
      <c r="I237" s="18">
        <v>8356.7800000000007</v>
      </c>
      <c r="J237" s="18">
        <v>0</v>
      </c>
      <c r="K237" s="18">
        <v>0</v>
      </c>
      <c r="L237" s="19">
        <f t="shared" ref="L237:L243" si="4">SUM(F237:K237)</f>
        <v>1022385.6200000001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271312.39</v>
      </c>
      <c r="G238" s="18">
        <v>180010</v>
      </c>
      <c r="H238" s="18">
        <v>1107.74</v>
      </c>
      <c r="I238" s="18">
        <v>53886.35</v>
      </c>
      <c r="J238" s="18">
        <v>1325.96</v>
      </c>
      <c r="K238" s="18">
        <v>0</v>
      </c>
      <c r="L238" s="19">
        <f t="shared" si="4"/>
        <v>507642.44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8269.0499999999993</v>
      </c>
      <c r="G239" s="18">
        <v>514.39</v>
      </c>
      <c r="H239" s="18">
        <f>732366.02+15500</f>
        <v>747866.02</v>
      </c>
      <c r="I239" s="18">
        <v>120.85</v>
      </c>
      <c r="J239" s="18">
        <v>0</v>
      </c>
      <c r="K239" s="18">
        <v>5090.88</v>
      </c>
      <c r="L239" s="19">
        <f t="shared" si="4"/>
        <v>761861.19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506233.91</v>
      </c>
      <c r="G240" s="18">
        <v>186781.35</v>
      </c>
      <c r="H240" s="18">
        <v>33961.85</v>
      </c>
      <c r="I240" s="18">
        <v>7945.62</v>
      </c>
      <c r="J240" s="18">
        <v>10518.69</v>
      </c>
      <c r="K240" s="18">
        <v>13640.17</v>
      </c>
      <c r="L240" s="19">
        <f t="shared" si="4"/>
        <v>759081.59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2700</v>
      </c>
      <c r="I241" s="18">
        <v>0</v>
      </c>
      <c r="J241" s="18">
        <v>0</v>
      </c>
      <c r="K241" s="18">
        <v>0</v>
      </c>
      <c r="L241" s="19">
        <f t="shared" si="4"/>
        <v>2700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462059.41</v>
      </c>
      <c r="G242" s="18">
        <v>183984.76</v>
      </c>
      <c r="H242" s="18">
        <f>359017.28-9481.04</f>
        <v>349536.24000000005</v>
      </c>
      <c r="I242" s="18">
        <v>304951.03999999998</v>
      </c>
      <c r="J242" s="18">
        <v>3020.96</v>
      </c>
      <c r="K242" s="18">
        <v>51.5</v>
      </c>
      <c r="L242" s="19">
        <f t="shared" si="4"/>
        <v>1303603.9099999999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580567.4</v>
      </c>
      <c r="I243" s="18">
        <v>0</v>
      </c>
      <c r="J243" s="18">
        <v>0</v>
      </c>
      <c r="K243" s="18">
        <v>0</v>
      </c>
      <c r="L243" s="19">
        <f t="shared" si="4"/>
        <v>580567.4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170122.75</v>
      </c>
      <c r="G244" s="18">
        <v>46921.64</v>
      </c>
      <c r="H244" s="18">
        <v>24280.49</v>
      </c>
      <c r="I244" s="18">
        <v>25753.87</v>
      </c>
      <c r="J244" s="18">
        <v>43295.17</v>
      </c>
      <c r="K244" s="18">
        <v>0</v>
      </c>
      <c r="L244" s="19">
        <f>SUM(F244:K244)</f>
        <v>310373.92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9366447.5299999993</v>
      </c>
      <c r="G246" s="41">
        <f t="shared" si="5"/>
        <v>3438613.3800000004</v>
      </c>
      <c r="H246" s="41">
        <f t="shared" si="5"/>
        <v>2922218.85</v>
      </c>
      <c r="I246" s="41">
        <f t="shared" si="5"/>
        <v>636337.79999999993</v>
      </c>
      <c r="J246" s="41">
        <f t="shared" si="5"/>
        <v>258969.66999999998</v>
      </c>
      <c r="K246" s="41">
        <f t="shared" si="5"/>
        <v>27564.68</v>
      </c>
      <c r="L246" s="41">
        <f t="shared" si="5"/>
        <v>16650151.91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9835</v>
      </c>
      <c r="G250" s="18">
        <v>950.8</v>
      </c>
      <c r="H250" s="18">
        <v>0</v>
      </c>
      <c r="I250" s="18">
        <v>85.8</v>
      </c>
      <c r="J250" s="18">
        <v>0</v>
      </c>
      <c r="K250" s="18">
        <v>0</v>
      </c>
      <c r="L250" s="19">
        <f t="shared" si="6"/>
        <v>10871.599999999999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9835</v>
      </c>
      <c r="G255" s="41">
        <f t="shared" si="7"/>
        <v>950.8</v>
      </c>
      <c r="H255" s="41">
        <f t="shared" si="7"/>
        <v>0</v>
      </c>
      <c r="I255" s="41">
        <f t="shared" si="7"/>
        <v>85.8</v>
      </c>
      <c r="J255" s="41">
        <f t="shared" si="7"/>
        <v>0</v>
      </c>
      <c r="K255" s="41">
        <f t="shared" si="7"/>
        <v>0</v>
      </c>
      <c r="L255" s="41">
        <f>SUM(F255:K255)</f>
        <v>10871.599999999999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9376282.5299999993</v>
      </c>
      <c r="G256" s="41">
        <f t="shared" si="8"/>
        <v>3439564.18</v>
      </c>
      <c r="H256" s="41">
        <f t="shared" si="8"/>
        <v>2922218.85</v>
      </c>
      <c r="I256" s="41">
        <f t="shared" si="8"/>
        <v>636423.6</v>
      </c>
      <c r="J256" s="41">
        <f t="shared" si="8"/>
        <v>258969.66999999998</v>
      </c>
      <c r="K256" s="41">
        <f t="shared" si="8"/>
        <v>27564.68</v>
      </c>
      <c r="L256" s="41">
        <f t="shared" si="8"/>
        <v>16661023.51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580000</v>
      </c>
      <c r="L259" s="19">
        <f>SUM(F259:K259)</f>
        <v>580000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14350.42</v>
      </c>
      <c r="L260" s="19">
        <f>SUM(F260:K260)</f>
        <v>14350.42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f>15000+18400.26</f>
        <v>33400.259999999995</v>
      </c>
      <c r="L262" s="19">
        <f>SUM(F262:K262)</f>
        <v>33400.259999999995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65000</v>
      </c>
      <c r="L265" s="19">
        <f t="shared" si="9"/>
        <v>65000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692750.68</v>
      </c>
      <c r="L269" s="41">
        <f t="shared" si="9"/>
        <v>692750.68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9376282.5299999993</v>
      </c>
      <c r="G270" s="42">
        <f t="shared" si="11"/>
        <v>3439564.18</v>
      </c>
      <c r="H270" s="42">
        <f t="shared" si="11"/>
        <v>2922218.85</v>
      </c>
      <c r="I270" s="42">
        <f t="shared" si="11"/>
        <v>636423.6</v>
      </c>
      <c r="J270" s="42">
        <f t="shared" si="11"/>
        <v>258969.66999999998</v>
      </c>
      <c r="K270" s="42">
        <f t="shared" si="11"/>
        <v>720315.3600000001</v>
      </c>
      <c r="L270" s="42">
        <f t="shared" si="11"/>
        <v>17353774.190000001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7122.35</v>
      </c>
      <c r="G313" s="18">
        <v>915.06</v>
      </c>
      <c r="H313" s="18">
        <v>400</v>
      </c>
      <c r="I313" s="18">
        <v>2042.49</v>
      </c>
      <c r="J313" s="18">
        <v>2994</v>
      </c>
      <c r="K313" s="18">
        <v>0</v>
      </c>
      <c r="L313" s="19">
        <f>SUM(F313:K313)</f>
        <v>13473.9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156495.9</v>
      </c>
      <c r="G314" s="18">
        <v>26755.03</v>
      </c>
      <c r="H314" s="18">
        <v>31508.62</v>
      </c>
      <c r="I314" s="18">
        <v>5069.87</v>
      </c>
      <c r="J314" s="18">
        <v>3516</v>
      </c>
      <c r="K314" s="18">
        <v>0</v>
      </c>
      <c r="L314" s="19">
        <f>SUM(F314:K314)</f>
        <v>223345.41999999998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475</v>
      </c>
      <c r="G318" s="18">
        <v>51.64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526.64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8050</v>
      </c>
      <c r="G319" s="18">
        <v>1023.85</v>
      </c>
      <c r="H319" s="18">
        <v>17133.400000000001</v>
      </c>
      <c r="I319" s="18">
        <v>0</v>
      </c>
      <c r="J319" s="18">
        <v>0</v>
      </c>
      <c r="K319" s="18">
        <v>0</v>
      </c>
      <c r="L319" s="19">
        <f t="shared" si="16"/>
        <v>26207.25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172143.25</v>
      </c>
      <c r="G327" s="42">
        <f t="shared" si="17"/>
        <v>28745.579999999998</v>
      </c>
      <c r="H327" s="42">
        <f t="shared" si="17"/>
        <v>49042.020000000004</v>
      </c>
      <c r="I327" s="42">
        <f t="shared" si="17"/>
        <v>7112.36</v>
      </c>
      <c r="J327" s="42">
        <f t="shared" si="17"/>
        <v>6510</v>
      </c>
      <c r="K327" s="42">
        <f t="shared" si="17"/>
        <v>0</v>
      </c>
      <c r="L327" s="41">
        <f t="shared" si="17"/>
        <v>263553.20999999996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172143.25</v>
      </c>
      <c r="G337" s="41">
        <f t="shared" si="20"/>
        <v>28745.579999999998</v>
      </c>
      <c r="H337" s="41">
        <f t="shared" si="20"/>
        <v>49042.020000000004</v>
      </c>
      <c r="I337" s="41">
        <f t="shared" si="20"/>
        <v>7112.36</v>
      </c>
      <c r="J337" s="41">
        <f t="shared" si="20"/>
        <v>6510</v>
      </c>
      <c r="K337" s="41">
        <f t="shared" si="20"/>
        <v>0</v>
      </c>
      <c r="L337" s="41">
        <f t="shared" si="20"/>
        <v>263553.20999999996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172143.25</v>
      </c>
      <c r="G351" s="41">
        <f>G337</f>
        <v>28745.579999999998</v>
      </c>
      <c r="H351" s="41">
        <f>H337</f>
        <v>49042.020000000004</v>
      </c>
      <c r="I351" s="41">
        <f>I337</f>
        <v>7112.36</v>
      </c>
      <c r="J351" s="41">
        <f>J337</f>
        <v>6510</v>
      </c>
      <c r="K351" s="47">
        <f>K337+K350</f>
        <v>0</v>
      </c>
      <c r="L351" s="41">
        <f>L337+L350</f>
        <v>263553.20999999996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175168.37</v>
      </c>
      <c r="G359" s="18">
        <v>97036.34</v>
      </c>
      <c r="H359" s="18">
        <v>3664.89</v>
      </c>
      <c r="I359" s="18">
        <v>153338.87</v>
      </c>
      <c r="J359" s="18">
        <v>0</v>
      </c>
      <c r="K359" s="18">
        <v>86.3</v>
      </c>
      <c r="L359" s="19">
        <f>SUM(F359:K359)</f>
        <v>429294.76999999996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175168.37</v>
      </c>
      <c r="G361" s="47">
        <f t="shared" si="22"/>
        <v>97036.34</v>
      </c>
      <c r="H361" s="47">
        <f t="shared" si="22"/>
        <v>3664.89</v>
      </c>
      <c r="I361" s="47">
        <f t="shared" si="22"/>
        <v>153338.87</v>
      </c>
      <c r="J361" s="47">
        <f t="shared" si="22"/>
        <v>0</v>
      </c>
      <c r="K361" s="47">
        <f t="shared" si="22"/>
        <v>86.3</v>
      </c>
      <c r="L361" s="47">
        <f t="shared" si="22"/>
        <v>429294.76999999996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>
        <v>141818.54999999999</v>
      </c>
      <c r="I366" s="56">
        <f>SUM(F366:H366)</f>
        <v>141818.54999999999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>
        <v>11520.32</v>
      </c>
      <c r="I367" s="56">
        <f>SUM(F367:H367)</f>
        <v>11520.32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153338.87</v>
      </c>
      <c r="I368" s="47">
        <f>SUM(I366:I367)</f>
        <v>153338.87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65000</v>
      </c>
      <c r="H395" s="18">
        <f>3.59+74.95+88.12+36</f>
        <v>202.66000000000003</v>
      </c>
      <c r="I395" s="18"/>
      <c r="J395" s="24" t="s">
        <v>289</v>
      </c>
      <c r="K395" s="24" t="s">
        <v>289</v>
      </c>
      <c r="L395" s="56">
        <f t="shared" si="26"/>
        <v>65202.66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f>75164.65+5048.6</f>
        <v>80213.25</v>
      </c>
      <c r="I396" s="18"/>
      <c r="J396" s="24" t="s">
        <v>289</v>
      </c>
      <c r="K396" s="24" t="s">
        <v>289</v>
      </c>
      <c r="L396" s="56">
        <f t="shared" si="26"/>
        <v>80213.25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f>8.64+21.15+0.86+17.98</f>
        <v>48.629999999999995</v>
      </c>
      <c r="I399" s="18"/>
      <c r="J399" s="24" t="s">
        <v>289</v>
      </c>
      <c r="K399" s="24" t="s">
        <v>289</v>
      </c>
      <c r="L399" s="56">
        <f t="shared" si="26"/>
        <v>48.629999999999995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65000</v>
      </c>
      <c r="H400" s="47">
        <f>SUM(H394:H399)</f>
        <v>80464.540000000008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145464.54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 t="s">
        <v>910</v>
      </c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>
        <v>21238.39</v>
      </c>
      <c r="J402" s="24" t="s">
        <v>289</v>
      </c>
      <c r="K402" s="24" t="s">
        <v>289</v>
      </c>
      <c r="L402" s="56">
        <f>SUM(F402:K402)</f>
        <v>21238.39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21238.39</v>
      </c>
      <c r="J406" s="49" t="s">
        <v>289</v>
      </c>
      <c r="K406" s="49" t="s">
        <v>289</v>
      </c>
      <c r="L406" s="47">
        <f>SUM(L402:L405)</f>
        <v>21238.39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65000</v>
      </c>
      <c r="H407" s="47">
        <f>H392+H400+H406</f>
        <v>80464.540000000008</v>
      </c>
      <c r="I407" s="47">
        <f>I392+I400+I406</f>
        <v>21238.39</v>
      </c>
      <c r="J407" s="24" t="s">
        <v>289</v>
      </c>
      <c r="K407" s="24" t="s">
        <v>289</v>
      </c>
      <c r="L407" s="47">
        <f>L392+L400+L406</f>
        <v>166702.93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24474.240000000002</v>
      </c>
      <c r="I421" s="18"/>
      <c r="J421" s="18"/>
      <c r="K421" s="18"/>
      <c r="L421" s="56">
        <f t="shared" si="29"/>
        <v>24474.240000000002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24474.240000000002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24474.240000000002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 t="s">
        <v>910</v>
      </c>
      <c r="B428" s="6">
        <v>17</v>
      </c>
      <c r="C428" s="6">
        <v>15</v>
      </c>
      <c r="D428" s="2" t="s">
        <v>433</v>
      </c>
      <c r="E428" s="6"/>
      <c r="F428" s="18">
        <v>17760</v>
      </c>
      <c r="G428" s="18">
        <v>2548.8200000000002</v>
      </c>
      <c r="H428" s="18">
        <v>885.36</v>
      </c>
      <c r="I428" s="18">
        <v>79.569999999999993</v>
      </c>
      <c r="J428" s="18"/>
      <c r="K428" s="18">
        <v>621.41</v>
      </c>
      <c r="L428" s="56">
        <f>SUM(F428:K428)</f>
        <v>21895.16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17760</v>
      </c>
      <c r="G432" s="47">
        <f t="shared" si="31"/>
        <v>2548.8200000000002</v>
      </c>
      <c r="H432" s="47">
        <f t="shared" si="31"/>
        <v>885.36</v>
      </c>
      <c r="I432" s="47">
        <f t="shared" si="31"/>
        <v>79.569999999999993</v>
      </c>
      <c r="J432" s="47">
        <f t="shared" si="31"/>
        <v>0</v>
      </c>
      <c r="K432" s="47">
        <f t="shared" si="31"/>
        <v>621.41</v>
      </c>
      <c r="L432" s="47">
        <f t="shared" si="31"/>
        <v>21895.16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17760</v>
      </c>
      <c r="G433" s="47">
        <f t="shared" si="32"/>
        <v>2548.8200000000002</v>
      </c>
      <c r="H433" s="47">
        <f t="shared" si="32"/>
        <v>25359.600000000002</v>
      </c>
      <c r="I433" s="47">
        <f t="shared" si="32"/>
        <v>79.569999999999993</v>
      </c>
      <c r="J433" s="47">
        <f t="shared" si="32"/>
        <v>0</v>
      </c>
      <c r="K433" s="47">
        <f t="shared" si="32"/>
        <v>621.41</v>
      </c>
      <c r="L433" s="47">
        <f t="shared" si="32"/>
        <v>46369.4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590691.56000000006</v>
      </c>
      <c r="H441" s="18">
        <v>1370.42</v>
      </c>
      <c r="I441" s="56">
        <f t="shared" si="33"/>
        <v>592061.9800000001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590691.56000000006</v>
      </c>
      <c r="H445" s="13">
        <f>SUM(H438:H444)</f>
        <v>1370.42</v>
      </c>
      <c r="I445" s="13">
        <f>SUM(I438:I444)</f>
        <v>592061.9800000001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v>24474.240000000002</v>
      </c>
      <c r="H447" s="18">
        <v>339.91</v>
      </c>
      <c r="I447" s="56">
        <f>SUM(F447:H447)</f>
        <v>24814.15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>
        <v>621.41</v>
      </c>
      <c r="I448" s="56">
        <f>SUM(F448:H448)</f>
        <v>621.41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24474.240000000002</v>
      </c>
      <c r="H451" s="72">
        <f>SUM(H447:H450)</f>
        <v>961.31999999999994</v>
      </c>
      <c r="I451" s="72">
        <f>SUM(I447:I450)</f>
        <v>25435.56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>
        <v>165525.76000000001</v>
      </c>
      <c r="H453" s="18"/>
      <c r="I453" s="56">
        <f t="shared" ref="I453:I458" si="34">SUM(F453:H453)</f>
        <v>165525.76000000001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279701.26+120990.3</f>
        <v>400691.56</v>
      </c>
      <c r="H458" s="18">
        <f>1065.87-656.77</f>
        <v>409.09999999999991</v>
      </c>
      <c r="I458" s="56">
        <f t="shared" si="34"/>
        <v>401100.66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566217.32000000007</v>
      </c>
      <c r="H459" s="83">
        <f>SUM(H453:H458)</f>
        <v>409.09999999999991</v>
      </c>
      <c r="I459" s="83">
        <f>SUM(I453:I458)</f>
        <v>566626.41999999993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590691.56000000006</v>
      </c>
      <c r="H460" s="42">
        <f>H451+H459</f>
        <v>1370.4199999999998</v>
      </c>
      <c r="I460" s="42">
        <f>I451+I459</f>
        <v>592061.98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221700.17</v>
      </c>
      <c r="G464" s="18">
        <v>-2145.5300000000002</v>
      </c>
      <c r="H464" s="18">
        <v>0</v>
      </c>
      <c r="I464" s="18">
        <v>0</v>
      </c>
      <c r="J464" s="18">
        <v>435725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17835591.77</v>
      </c>
      <c r="G467" s="18">
        <f>G192</f>
        <v>430755.77000000008</v>
      </c>
      <c r="H467" s="18">
        <f>H192</f>
        <v>263553.20999999996</v>
      </c>
      <c r="I467" s="18">
        <f>I192</f>
        <v>0.01</v>
      </c>
      <c r="J467" s="18">
        <f>L407</f>
        <v>166702.93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-141.91999999999999</v>
      </c>
      <c r="G468" s="18">
        <f>444.53+240</f>
        <v>684.53</v>
      </c>
      <c r="H468" s="18"/>
      <c r="I468" s="18"/>
      <c r="J468" s="18">
        <f>6524.27+28+3329.2+545.33+141.09</f>
        <v>10567.890000000001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17835449.849999998</v>
      </c>
      <c r="G469" s="53">
        <f>SUM(G467:G468)</f>
        <v>431440.3000000001</v>
      </c>
      <c r="H469" s="53">
        <f>SUM(H467:H468)</f>
        <v>263553.20999999996</v>
      </c>
      <c r="I469" s="53">
        <f>SUM(I467:I468)</f>
        <v>0.01</v>
      </c>
      <c r="J469" s="53">
        <f>SUM(J467:J468)</f>
        <v>177270.82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17353774.190000001</v>
      </c>
      <c r="G471" s="18">
        <f>L361</f>
        <v>429294.76999999996</v>
      </c>
      <c r="H471" s="18">
        <f>L327</f>
        <v>263553.20999999996</v>
      </c>
      <c r="I471" s="18">
        <v>0</v>
      </c>
      <c r="J471" s="18">
        <f>L433</f>
        <v>46369.4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f>535.37+342+2395+11560.1</f>
        <v>14832.470000000001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17368606.66</v>
      </c>
      <c r="G473" s="53">
        <f>SUM(G471:G472)</f>
        <v>429294.76999999996</v>
      </c>
      <c r="H473" s="53">
        <f>SUM(H471:H472)</f>
        <v>263553.20999999996</v>
      </c>
      <c r="I473" s="53">
        <f>SUM(I471:I472)</f>
        <v>0</v>
      </c>
      <c r="J473" s="53">
        <f>SUM(J471:J472)</f>
        <v>46369.4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688543.3599999994</v>
      </c>
      <c r="G475" s="53">
        <f>(G464+G469)- G473</f>
        <v>0</v>
      </c>
      <c r="H475" s="53">
        <f>(H464+H469)- H473</f>
        <v>0</v>
      </c>
      <c r="I475" s="53">
        <f>(I464+I469)- I473</f>
        <v>0.01</v>
      </c>
      <c r="J475" s="53">
        <f>(J464+J469)- J473</f>
        <v>566626.42000000004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74" t="s">
        <v>913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 t="s">
        <v>911</v>
      </c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 t="s">
        <v>912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5" t="s">
        <v>911</v>
      </c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916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917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5800000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5.0999999999999996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580000</v>
      </c>
      <c r="G494" s="18"/>
      <c r="H494" s="18"/>
      <c r="I494" s="18"/>
      <c r="J494" s="18"/>
      <c r="K494" s="53">
        <f>SUM(F494:J494)</f>
        <v>580000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580000</v>
      </c>
      <c r="G496" s="18"/>
      <c r="H496" s="18"/>
      <c r="I496" s="18"/>
      <c r="J496" s="18"/>
      <c r="K496" s="53">
        <f t="shared" si="35"/>
        <v>580000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1650081.44</v>
      </c>
      <c r="G522" s="18">
        <v>627450.53</v>
      </c>
      <c r="H522" s="18">
        <v>426513.73</v>
      </c>
      <c r="I522" s="18">
        <v>11488.2</v>
      </c>
      <c r="J522" s="18">
        <v>13259.38</v>
      </c>
      <c r="K522" s="18"/>
      <c r="L522" s="88">
        <f>SUM(F522:K522)</f>
        <v>2728793.28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1650081.44</v>
      </c>
      <c r="G523" s="108">
        <f t="shared" ref="G523:L523" si="36">SUM(G520:G522)</f>
        <v>627450.53</v>
      </c>
      <c r="H523" s="108">
        <f t="shared" si="36"/>
        <v>426513.73</v>
      </c>
      <c r="I523" s="108">
        <f t="shared" si="36"/>
        <v>11488.2</v>
      </c>
      <c r="J523" s="108">
        <f t="shared" si="36"/>
        <v>13259.38</v>
      </c>
      <c r="K523" s="108">
        <f t="shared" si="36"/>
        <v>0</v>
      </c>
      <c r="L523" s="89">
        <f t="shared" si="36"/>
        <v>2728793.28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208992.06</v>
      </c>
      <c r="G527" s="18">
        <v>89087.93</v>
      </c>
      <c r="H527" s="18">
        <f>489996.8+100+915.3</f>
        <v>491012.1</v>
      </c>
      <c r="I527" s="18">
        <f>161.1+476.73</f>
        <v>637.83000000000004</v>
      </c>
      <c r="J527" s="18"/>
      <c r="K527" s="18"/>
      <c r="L527" s="88">
        <f>SUM(F527:K527)</f>
        <v>789729.91999999993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208992.06</v>
      </c>
      <c r="G528" s="89">
        <f t="shared" ref="G528:L528" si="37">SUM(G525:G527)</f>
        <v>89087.93</v>
      </c>
      <c r="H528" s="89">
        <f t="shared" si="37"/>
        <v>491012.1</v>
      </c>
      <c r="I528" s="89">
        <f t="shared" si="37"/>
        <v>637.83000000000004</v>
      </c>
      <c r="J528" s="89">
        <f t="shared" si="37"/>
        <v>0</v>
      </c>
      <c r="K528" s="89">
        <f t="shared" si="37"/>
        <v>0</v>
      </c>
      <c r="L528" s="89">
        <f t="shared" si="37"/>
        <v>789729.91999999993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46076.32</v>
      </c>
      <c r="G532" s="18">
        <v>10954.05</v>
      </c>
      <c r="H532" s="18">
        <v>14508.67</v>
      </c>
      <c r="I532" s="18">
        <v>2444.56</v>
      </c>
      <c r="J532" s="18"/>
      <c r="K532" s="18"/>
      <c r="L532" s="88">
        <f>SUM(F532:K532)</f>
        <v>73983.599999999991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46076.32</v>
      </c>
      <c r="G533" s="89">
        <f t="shared" ref="G533:L533" si="38">SUM(G530:G532)</f>
        <v>10954.05</v>
      </c>
      <c r="H533" s="89">
        <f t="shared" si="38"/>
        <v>14508.67</v>
      </c>
      <c r="I533" s="89">
        <f t="shared" si="38"/>
        <v>2444.56</v>
      </c>
      <c r="J533" s="89">
        <f t="shared" si="38"/>
        <v>0</v>
      </c>
      <c r="K533" s="89">
        <f t="shared" si="38"/>
        <v>0</v>
      </c>
      <c r="L533" s="89">
        <f t="shared" si="38"/>
        <v>73983.599999999991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240353.85</v>
      </c>
      <c r="I542" s="18"/>
      <c r="J542" s="18"/>
      <c r="K542" s="18"/>
      <c r="L542" s="88">
        <f>SUM(F542:K542)</f>
        <v>240353.85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240353.85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240353.85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1905149.82</v>
      </c>
      <c r="G544" s="89">
        <f t="shared" ref="G544:L544" si="41">G523+G528+G533+G538+G543</f>
        <v>727492.51</v>
      </c>
      <c r="H544" s="89">
        <f t="shared" si="41"/>
        <v>1172388.3500000001</v>
      </c>
      <c r="I544" s="89">
        <f t="shared" si="41"/>
        <v>14570.59</v>
      </c>
      <c r="J544" s="89">
        <f t="shared" si="41"/>
        <v>13259.38</v>
      </c>
      <c r="K544" s="89">
        <f t="shared" si="41"/>
        <v>0</v>
      </c>
      <c r="L544" s="89">
        <f t="shared" si="41"/>
        <v>3832860.65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2728793.28</v>
      </c>
      <c r="G550" s="87">
        <f>L527</f>
        <v>789729.91999999993</v>
      </c>
      <c r="H550" s="87">
        <f>L532</f>
        <v>73983.599999999991</v>
      </c>
      <c r="I550" s="87">
        <f>L537</f>
        <v>0</v>
      </c>
      <c r="J550" s="87">
        <f>L542</f>
        <v>240353.85</v>
      </c>
      <c r="K550" s="87">
        <f>SUM(F550:J550)</f>
        <v>3832860.65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2728793.28</v>
      </c>
      <c r="G551" s="89">
        <f t="shared" si="42"/>
        <v>789729.91999999993</v>
      </c>
      <c r="H551" s="89">
        <f t="shared" si="42"/>
        <v>73983.599999999991</v>
      </c>
      <c r="I551" s="89">
        <f t="shared" si="42"/>
        <v>0</v>
      </c>
      <c r="J551" s="89">
        <f t="shared" si="42"/>
        <v>240353.85</v>
      </c>
      <c r="K551" s="89">
        <f t="shared" si="42"/>
        <v>3832860.65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426367.04</v>
      </c>
      <c r="I581" s="87">
        <f t="shared" si="47"/>
        <v>426367.04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8505.2800000000007</v>
      </c>
      <c r="I583" s="87">
        <f t="shared" si="47"/>
        <v>8505.2800000000007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/>
      <c r="J590" s="18">
        <v>210945</v>
      </c>
      <c r="K590" s="104">
        <f t="shared" ref="K590:K596" si="48">SUM(H590:J590)</f>
        <v>210945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v>240353.85</v>
      </c>
      <c r="K591" s="104">
        <f t="shared" si="48"/>
        <v>240353.85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24553.87</v>
      </c>
      <c r="K592" s="104">
        <f t="shared" si="48"/>
        <v>24553.87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>
        <v>98017.34</v>
      </c>
      <c r="K593" s="104">
        <f t="shared" si="48"/>
        <v>98017.34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>
        <v>6697.34</v>
      </c>
      <c r="K594" s="104">
        <f t="shared" si="48"/>
        <v>6697.34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0</v>
      </c>
      <c r="I597" s="108">
        <f>SUM(I590:I596)</f>
        <v>0</v>
      </c>
      <c r="J597" s="108">
        <f>SUM(J590:J596)</f>
        <v>580567.39999999991</v>
      </c>
      <c r="K597" s="108">
        <f>SUM(K590:K596)</f>
        <v>580567.39999999991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>
        <v>265479.67</v>
      </c>
      <c r="K603" s="104">
        <f>SUM(H603:J603)</f>
        <v>265479.67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265479.67</v>
      </c>
      <c r="K604" s="108">
        <f>SUM(K601:K603)</f>
        <v>265479.67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3925</v>
      </c>
      <c r="G612" s="18">
        <v>753.21</v>
      </c>
      <c r="H612" s="18"/>
      <c r="I612" s="18"/>
      <c r="J612" s="18"/>
      <c r="K612" s="18"/>
      <c r="L612" s="88">
        <f>SUM(F612:K612)</f>
        <v>4678.21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3925</v>
      </c>
      <c r="G613" s="108">
        <f t="shared" si="49"/>
        <v>753.21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4678.21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1206878.71</v>
      </c>
      <c r="H616" s="109">
        <f>SUM(F51)</f>
        <v>1206878.71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12404.609999999999</v>
      </c>
      <c r="H617" s="109">
        <f>SUM(G51)</f>
        <v>12404.61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134021.5</v>
      </c>
      <c r="H618" s="109">
        <f>SUM(H51)</f>
        <v>134021.5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50.01</v>
      </c>
      <c r="H619" s="109">
        <f>SUM(I51)</f>
        <v>50.01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592061.9800000001</v>
      </c>
      <c r="H620" s="109">
        <f>SUM(J51)</f>
        <v>592061.98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688543.36</v>
      </c>
      <c r="H621" s="109">
        <f>F475</f>
        <v>688543.3599999994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0.01</v>
      </c>
      <c r="H624" s="109">
        <f>I475</f>
        <v>0.01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566626.41999999993</v>
      </c>
      <c r="H625" s="109">
        <f>J475</f>
        <v>566626.42000000004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17835591.77</v>
      </c>
      <c r="H626" s="104">
        <f>SUM(F467)</f>
        <v>17835591.77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430755.77000000008</v>
      </c>
      <c r="H627" s="104">
        <f>SUM(G467)</f>
        <v>430755.77000000008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263553.20999999996</v>
      </c>
      <c r="H628" s="104">
        <f>SUM(H467)</f>
        <v>263553.20999999996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0.01</v>
      </c>
      <c r="H629" s="104">
        <f>SUM(I467)</f>
        <v>0.01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166702.93</v>
      </c>
      <c r="H630" s="104">
        <f>SUM(J467)</f>
        <v>166702.93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17353774.190000001</v>
      </c>
      <c r="H631" s="104">
        <f>SUM(F471)</f>
        <v>17353774.190000001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263553.20999999996</v>
      </c>
      <c r="H632" s="104">
        <f>SUM(H471)</f>
        <v>263553.20999999996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153338.87</v>
      </c>
      <c r="H633" s="104">
        <f>I368</f>
        <v>153338.87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429294.76999999996</v>
      </c>
      <c r="H634" s="104">
        <f>SUM(G471)</f>
        <v>429294.76999999996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166702.93</v>
      </c>
      <c r="H636" s="164">
        <f>SUM(J467)</f>
        <v>166702.93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46369.4</v>
      </c>
      <c r="H637" s="164">
        <f>SUM(J471)</f>
        <v>46369.4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590691.56000000006</v>
      </c>
      <c r="H639" s="104">
        <f>SUM(G460)</f>
        <v>590691.56000000006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1370.42</v>
      </c>
      <c r="H640" s="104">
        <f>SUM(H460)</f>
        <v>1370.4199999999998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592061.9800000001</v>
      </c>
      <c r="H641" s="104">
        <f>SUM(I460)</f>
        <v>592061.98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80464.539999999994</v>
      </c>
      <c r="H643" s="104">
        <f>H407</f>
        <v>80464.540000000008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65000</v>
      </c>
      <c r="H644" s="104">
        <f>G407</f>
        <v>65000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166702.93</v>
      </c>
      <c r="H645" s="104">
        <f>L407</f>
        <v>166702.93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580567.39999999991</v>
      </c>
      <c r="H646" s="104">
        <f>L207+L225+L243</f>
        <v>580567.4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265479.67</v>
      </c>
      <c r="H647" s="104">
        <f>(J256+J337)-(J254+J335)</f>
        <v>265479.67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0</v>
      </c>
      <c r="H648" s="104">
        <f>H597</f>
        <v>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580567.4</v>
      </c>
      <c r="H650" s="104">
        <f>J597</f>
        <v>580567.39999999991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33400.259999999995</v>
      </c>
      <c r="H651" s="104">
        <f>K262+K344</f>
        <v>33400.259999999995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65000</v>
      </c>
      <c r="H654" s="104">
        <f>K265+K346</f>
        <v>65000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0</v>
      </c>
      <c r="G659" s="19">
        <f>(L228+L308+L358)</f>
        <v>0</v>
      </c>
      <c r="H659" s="19">
        <f>(L246+L327+L359)</f>
        <v>17342999.890000001</v>
      </c>
      <c r="I659" s="19">
        <f>SUM(F659:H659)</f>
        <v>17342999.890000001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363859.83</v>
      </c>
      <c r="I660" s="19">
        <f>SUM(F660:H660)</f>
        <v>363859.83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0</v>
      </c>
      <c r="G661" s="19">
        <f>(L225+L305)-(J225+J305)</f>
        <v>0</v>
      </c>
      <c r="H661" s="19">
        <f>(L243+L324)-(J243+J324)</f>
        <v>580567.4</v>
      </c>
      <c r="I661" s="19">
        <f>SUM(F661:H661)</f>
        <v>580567.4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0</v>
      </c>
      <c r="G662" s="199">
        <f>SUM(G574:G586)+SUM(I601:I603)+L611</f>
        <v>0</v>
      </c>
      <c r="H662" s="199">
        <f>SUM(H574:H586)+SUM(J601:J603)+L612</f>
        <v>705030.2</v>
      </c>
      <c r="I662" s="19">
        <f>SUM(F662:H662)</f>
        <v>705030.2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0</v>
      </c>
      <c r="G663" s="19">
        <f>G659-SUM(G660:G662)</f>
        <v>0</v>
      </c>
      <c r="H663" s="19">
        <f>H659-SUM(H660:H662)</f>
        <v>15693542.460000001</v>
      </c>
      <c r="I663" s="19">
        <f>I659-SUM(I660:I662)</f>
        <v>15693542.460000001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/>
      <c r="G664" s="248"/>
      <c r="H664" s="248">
        <v>815.37</v>
      </c>
      <c r="I664" s="19">
        <f>SUM(F664:H664)</f>
        <v>815.37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>
        <f>ROUND(H663/H664,2)</f>
        <v>19247.14</v>
      </c>
      <c r="I666" s="19">
        <f>ROUND(I663/I664,2)</f>
        <v>19247.14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-2.98</v>
      </c>
      <c r="I669" s="19">
        <f>SUM(F669:H669)</f>
        <v>-2.98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>
        <f>ROUND((H663+H668)/(H664+H669),2)</f>
        <v>19317.740000000002</v>
      </c>
      <c r="I671" s="19">
        <f>ROUND((I663+I668)/(I664+I669),2)</f>
        <v>19317.740000000002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75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SOUHEGAN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5354576.68</v>
      </c>
      <c r="C9" s="229">
        <f>'DOE25'!G196+'DOE25'!G214+'DOE25'!G232+'DOE25'!G275+'DOE25'!G294+'DOE25'!G313</f>
        <v>1876434.09</v>
      </c>
    </row>
    <row r="10" spans="1:3" x14ac:dyDescent="0.2">
      <c r="A10" t="s">
        <v>779</v>
      </c>
      <c r="B10" s="240">
        <f>5088155.64+3925</f>
        <v>5092080.6399999997</v>
      </c>
      <c r="C10" s="240">
        <v>1782612.39</v>
      </c>
    </row>
    <row r="11" spans="1:3" x14ac:dyDescent="0.2">
      <c r="A11" t="s">
        <v>780</v>
      </c>
      <c r="B11" s="240">
        <v>37124.17</v>
      </c>
      <c r="C11" s="240">
        <v>18764.34</v>
      </c>
    </row>
    <row r="12" spans="1:3" x14ac:dyDescent="0.2">
      <c r="A12" t="s">
        <v>781</v>
      </c>
      <c r="B12" s="240">
        <v>225371.87</v>
      </c>
      <c r="C12" s="240">
        <v>75057.36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5354576.68</v>
      </c>
      <c r="C13" s="231">
        <f>SUM(C10:C12)</f>
        <v>1876434.09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1905149.8199999998</v>
      </c>
      <c r="C18" s="229">
        <f>'DOE25'!G197+'DOE25'!G215+'DOE25'!G233+'DOE25'!G276+'DOE25'!G295+'DOE25'!G314</f>
        <v>727492.51</v>
      </c>
    </row>
    <row r="19" spans="1:3" x14ac:dyDescent="0.2">
      <c r="A19" t="s">
        <v>779</v>
      </c>
      <c r="B19" s="240">
        <v>1014277.64</v>
      </c>
      <c r="C19" s="240">
        <v>385571.03</v>
      </c>
    </row>
    <row r="20" spans="1:3" x14ac:dyDescent="0.2">
      <c r="A20" t="s">
        <v>780</v>
      </c>
      <c r="B20" s="240">
        <v>562258.59</v>
      </c>
      <c r="C20" s="240">
        <v>218247.75</v>
      </c>
    </row>
    <row r="21" spans="1:3" x14ac:dyDescent="0.2">
      <c r="A21" t="s">
        <v>781</v>
      </c>
      <c r="B21" s="240">
        <v>328613.59000000003</v>
      </c>
      <c r="C21" s="240">
        <v>123673.73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1905149.82</v>
      </c>
      <c r="C22" s="231">
        <f>SUM(C19:C21)</f>
        <v>727492.51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182066.97</v>
      </c>
      <c r="C36" s="235">
        <f>'DOE25'!G199+'DOE25'!G217+'DOE25'!G235+'DOE25'!G278+'DOE25'!G297+'DOE25'!G316</f>
        <v>22134.85</v>
      </c>
    </row>
    <row r="37" spans="1:3" x14ac:dyDescent="0.2">
      <c r="A37" t="s">
        <v>779</v>
      </c>
      <c r="B37" s="240">
        <v>70948.53</v>
      </c>
      <c r="C37" s="240">
        <v>8625.59</v>
      </c>
    </row>
    <row r="38" spans="1:3" x14ac:dyDescent="0.2">
      <c r="A38" t="s">
        <v>780</v>
      </c>
      <c r="B38" s="240">
        <v>772.08</v>
      </c>
      <c r="C38" s="240">
        <v>93.87</v>
      </c>
    </row>
    <row r="39" spans="1:3" x14ac:dyDescent="0.2">
      <c r="A39" t="s">
        <v>781</v>
      </c>
      <c r="B39" s="240">
        <v>110346.36</v>
      </c>
      <c r="C39" s="240">
        <v>13415.39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182066.97</v>
      </c>
      <c r="C40" s="231">
        <f>SUM(C37:C39)</f>
        <v>22134.85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sqref="A1:H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SOUHEGAN COOPERATIVE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11401935.84</v>
      </c>
      <c r="D5" s="20">
        <f>SUM('DOE25'!L196:L199)+SUM('DOE25'!L214:L217)+SUM('DOE25'!L232:L235)-F5-G5</f>
        <v>11192344.819999998</v>
      </c>
      <c r="E5" s="243"/>
      <c r="F5" s="255">
        <f>SUM('DOE25'!J196:J199)+SUM('DOE25'!J214:J217)+SUM('DOE25'!J232:J235)</f>
        <v>200808.89</v>
      </c>
      <c r="G5" s="53">
        <f>SUM('DOE25'!K196:K199)+SUM('DOE25'!K214:K217)+SUM('DOE25'!K232:K235)</f>
        <v>8782.130000000001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1022385.6200000001</v>
      </c>
      <c r="D6" s="20">
        <f>'DOE25'!L201+'DOE25'!L219+'DOE25'!L237-F6-G6</f>
        <v>1022385.6200000001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507642.44</v>
      </c>
      <c r="D7" s="20">
        <f>'DOE25'!L202+'DOE25'!L220+'DOE25'!L238-F7-G7</f>
        <v>506316.48</v>
      </c>
      <c r="E7" s="243"/>
      <c r="F7" s="255">
        <f>'DOE25'!J202+'DOE25'!J220+'DOE25'!J238</f>
        <v>1325.96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761861.19</v>
      </c>
      <c r="D8" s="243"/>
      <c r="E8" s="20">
        <f>'DOE25'!L203+'DOE25'!L221+'DOE25'!L239-F8-G8-D9-D11</f>
        <v>756770.30999999994</v>
      </c>
      <c r="F8" s="255">
        <f>'DOE25'!J203+'DOE25'!J221+'DOE25'!J239</f>
        <v>0</v>
      </c>
      <c r="G8" s="53">
        <f>'DOE25'!K203+'DOE25'!K221+'DOE25'!K239</f>
        <v>5090.88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759081.59</v>
      </c>
      <c r="D12" s="20">
        <f>'DOE25'!L204+'DOE25'!L222+'DOE25'!L240-F12-G12</f>
        <v>734922.73</v>
      </c>
      <c r="E12" s="243"/>
      <c r="F12" s="255">
        <f>'DOE25'!J204+'DOE25'!J222+'DOE25'!J240</f>
        <v>10518.69</v>
      </c>
      <c r="G12" s="53">
        <f>'DOE25'!K204+'DOE25'!K222+'DOE25'!K240</f>
        <v>13640.17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2700</v>
      </c>
      <c r="D13" s="243"/>
      <c r="E13" s="20">
        <f>'DOE25'!L205+'DOE25'!L223+'DOE25'!L241-F13-G13</f>
        <v>2700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1303603.9099999999</v>
      </c>
      <c r="D14" s="20">
        <f>'DOE25'!L206+'DOE25'!L224+'DOE25'!L242-F14-G14</f>
        <v>1300531.45</v>
      </c>
      <c r="E14" s="243"/>
      <c r="F14" s="255">
        <f>'DOE25'!J206+'DOE25'!J224+'DOE25'!J242</f>
        <v>3020.96</v>
      </c>
      <c r="G14" s="53">
        <f>'DOE25'!K206+'DOE25'!K224+'DOE25'!K242</f>
        <v>51.5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580567.4</v>
      </c>
      <c r="D15" s="20">
        <f>'DOE25'!L207+'DOE25'!L225+'DOE25'!L243-F15-G15</f>
        <v>580567.4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310373.92</v>
      </c>
      <c r="D16" s="243"/>
      <c r="E16" s="20">
        <f>'DOE25'!L208+'DOE25'!L226+'DOE25'!L244-F16-G16</f>
        <v>267078.75</v>
      </c>
      <c r="F16" s="255">
        <f>'DOE25'!J208+'DOE25'!J226+'DOE25'!J244</f>
        <v>43295.17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10871.599999999999</v>
      </c>
      <c r="D17" s="20">
        <f>'DOE25'!L250-F17-G17</f>
        <v>10871.599999999999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594350.42000000004</v>
      </c>
      <c r="D25" s="243"/>
      <c r="E25" s="243"/>
      <c r="F25" s="258"/>
      <c r="G25" s="256"/>
      <c r="H25" s="257">
        <f>'DOE25'!L259+'DOE25'!L260+'DOE25'!L340+'DOE25'!L341</f>
        <v>594350.42000000004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287476.21999999997</v>
      </c>
      <c r="D29" s="20">
        <f>'DOE25'!L357+'DOE25'!L358+'DOE25'!L359-'DOE25'!I366-F29-G29</f>
        <v>287389.92</v>
      </c>
      <c r="E29" s="243"/>
      <c r="F29" s="255">
        <f>'DOE25'!J357+'DOE25'!J358+'DOE25'!J359</f>
        <v>0</v>
      </c>
      <c r="G29" s="53">
        <f>'DOE25'!K357+'DOE25'!K358+'DOE25'!K359</f>
        <v>86.3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263553.20999999996</v>
      </c>
      <c r="D31" s="20">
        <f>'DOE25'!L289+'DOE25'!L308+'DOE25'!L327+'DOE25'!L332+'DOE25'!L333+'DOE25'!L334-F31-G31</f>
        <v>257043.20999999996</v>
      </c>
      <c r="E31" s="243"/>
      <c r="F31" s="255">
        <f>'DOE25'!J289+'DOE25'!J308+'DOE25'!J327+'DOE25'!J332+'DOE25'!J333+'DOE25'!J334</f>
        <v>6510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15892373.229999997</v>
      </c>
      <c r="E33" s="246">
        <f>SUM(E5:E31)</f>
        <v>1026549.0599999999</v>
      </c>
      <c r="F33" s="246">
        <f>SUM(F5:F31)</f>
        <v>265479.67</v>
      </c>
      <c r="G33" s="246">
        <f>SUM(G5:G31)</f>
        <v>27650.98</v>
      </c>
      <c r="H33" s="246">
        <f>SUM(H5:H31)</f>
        <v>594350.42000000004</v>
      </c>
    </row>
    <row r="35" spans="2:8" ht="12" thickBot="1" x14ac:dyDescent="0.25">
      <c r="B35" s="253" t="s">
        <v>847</v>
      </c>
      <c r="D35" s="254">
        <f>E33</f>
        <v>1026549.0599999999</v>
      </c>
      <c r="E35" s="249"/>
    </row>
    <row r="36" spans="2:8" ht="12" thickTop="1" x14ac:dyDescent="0.2">
      <c r="B36" t="s">
        <v>815</v>
      </c>
      <c r="D36" s="20">
        <f>D33</f>
        <v>15892373.229999997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SOUHEGAN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296389.98</v>
      </c>
      <c r="D8" s="95">
        <f>'DOE25'!G9</f>
        <v>0</v>
      </c>
      <c r="E8" s="95">
        <f>'DOE25'!H9</f>
        <v>0</v>
      </c>
      <c r="F8" s="95">
        <f>'DOE25'!I9</f>
        <v>50.01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649552.16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221007.12</v>
      </c>
      <c r="D11" s="95">
        <f>'DOE25'!G12</f>
        <v>1183.3900000000001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22179.57</v>
      </c>
      <c r="D12" s="95">
        <f>'DOE25'!G13</f>
        <v>10665.99</v>
      </c>
      <c r="E12" s="95">
        <f>'DOE25'!H13</f>
        <v>134021.5</v>
      </c>
      <c r="F12" s="95">
        <f>'DOE25'!I13</f>
        <v>0</v>
      </c>
      <c r="G12" s="95">
        <f>'DOE25'!J13</f>
        <v>592061.9800000001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3479.88</v>
      </c>
      <c r="D13" s="95">
        <f>'DOE25'!G14</f>
        <v>555.23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14270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1206878.71</v>
      </c>
      <c r="D18" s="41">
        <f>SUM(D8:D17)</f>
        <v>12404.609999999999</v>
      </c>
      <c r="E18" s="41">
        <f>SUM(E8:E17)</f>
        <v>134021.5</v>
      </c>
      <c r="F18" s="41">
        <f>SUM(F8:F17)</f>
        <v>50.01</v>
      </c>
      <c r="G18" s="41">
        <f>SUM(G8:G17)</f>
        <v>592061.9800000001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79957.039999999994</v>
      </c>
      <c r="D21" s="95">
        <f>'DOE25'!G22</f>
        <v>0</v>
      </c>
      <c r="E21" s="95">
        <f>'DOE25'!H22</f>
        <v>117369.32</v>
      </c>
      <c r="F21" s="95">
        <f>'DOE25'!I22</f>
        <v>50</v>
      </c>
      <c r="G21" s="95">
        <f>'DOE25'!J22</f>
        <v>24814.15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11639.19</v>
      </c>
      <c r="D22" s="95">
        <f>'DOE25'!G23</f>
        <v>10661.95</v>
      </c>
      <c r="E22" s="95">
        <f>'DOE25'!H23</f>
        <v>0</v>
      </c>
      <c r="F22" s="95">
        <f>'DOE25'!I23</f>
        <v>0</v>
      </c>
      <c r="G22" s="95">
        <f>'DOE25'!J23</f>
        <v>621.41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396695.72000000003</v>
      </c>
      <c r="D23" s="95">
        <f>'DOE25'!G24</f>
        <v>1742.66</v>
      </c>
      <c r="E23" s="95">
        <f>'DOE25'!H24</f>
        <v>766.97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12519.23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12549.67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4746.4799999999996</v>
      </c>
      <c r="D29" s="95">
        <f>'DOE25'!G30</f>
        <v>0</v>
      </c>
      <c r="E29" s="95">
        <f>'DOE25'!H30</f>
        <v>15885.21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228.02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518335.35</v>
      </c>
      <c r="D31" s="41">
        <f>SUM(D21:D30)</f>
        <v>12404.61</v>
      </c>
      <c r="E31" s="41">
        <f>SUM(E21:E30)</f>
        <v>134021.5</v>
      </c>
      <c r="F31" s="41">
        <f>SUM(F21:F30)</f>
        <v>50</v>
      </c>
      <c r="G31" s="41">
        <f>SUM(G21:G30)</f>
        <v>25435.56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0.01</v>
      </c>
      <c r="G46" s="95">
        <f>'DOE25'!J47</f>
        <v>401100.66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24379.88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165525.76000000001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664163.48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688543.36</v>
      </c>
      <c r="D49" s="41">
        <f>SUM(D34:D48)</f>
        <v>0</v>
      </c>
      <c r="E49" s="41">
        <f>SUM(E34:E48)</f>
        <v>0</v>
      </c>
      <c r="F49" s="41">
        <f>SUM(F34:F48)</f>
        <v>0.01</v>
      </c>
      <c r="G49" s="41">
        <f>SUM(G34:G48)</f>
        <v>566626.41999999993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1206878.71</v>
      </c>
      <c r="D50" s="41">
        <f>D49+D31</f>
        <v>12404.61</v>
      </c>
      <c r="E50" s="41">
        <f>E49+E31</f>
        <v>134021.5</v>
      </c>
      <c r="F50" s="41">
        <f>F49+F31</f>
        <v>50.01</v>
      </c>
      <c r="G50" s="41">
        <f>G49+G31</f>
        <v>592061.98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13195130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88553.060000000012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3687.13</v>
      </c>
      <c r="D58" s="95">
        <f>'DOE25'!G95</f>
        <v>0</v>
      </c>
      <c r="E58" s="95">
        <f>'DOE25'!H95</f>
        <v>0</v>
      </c>
      <c r="F58" s="95">
        <f>'DOE25'!I95</f>
        <v>0.01</v>
      </c>
      <c r="G58" s="95">
        <f>'DOE25'!J95</f>
        <v>80464.539999999994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360472.12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163445.73000000001</v>
      </c>
      <c r="D60" s="95">
        <f>SUM('DOE25'!G97:G109)</f>
        <v>3387.71</v>
      </c>
      <c r="E60" s="95">
        <f>SUM('DOE25'!H97:H109)</f>
        <v>3212.1</v>
      </c>
      <c r="F60" s="95">
        <f>SUM('DOE25'!I97:I109)</f>
        <v>0</v>
      </c>
      <c r="G60" s="95">
        <f>SUM('DOE25'!J97:J109)</f>
        <v>21238.39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255685.92000000004</v>
      </c>
      <c r="D61" s="130">
        <f>SUM(D56:D60)</f>
        <v>363859.83</v>
      </c>
      <c r="E61" s="130">
        <f>SUM(E56:E60)</f>
        <v>3212.1</v>
      </c>
      <c r="F61" s="130">
        <f>SUM(F56:F60)</f>
        <v>0.01</v>
      </c>
      <c r="G61" s="130">
        <f>SUM(G56:G60)</f>
        <v>101702.93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13450815.92</v>
      </c>
      <c r="D62" s="22">
        <f>D55+D61</f>
        <v>363859.83</v>
      </c>
      <c r="E62" s="22">
        <f>E55+E61</f>
        <v>3212.1</v>
      </c>
      <c r="F62" s="22">
        <f>F55+F61</f>
        <v>0.01</v>
      </c>
      <c r="G62" s="22">
        <f>G55+G61</f>
        <v>101702.93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2031116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1616545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3647661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357280.89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304067.27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2197.81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1041.0899999999999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663545.97000000009</v>
      </c>
      <c r="D77" s="130">
        <f>SUM(D71:D76)</f>
        <v>1041.0899999999999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4311206.97</v>
      </c>
      <c r="D80" s="130">
        <f>SUM(D78:D79)+D77+D69</f>
        <v>1041.0899999999999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12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73556.88</v>
      </c>
      <c r="D87" s="95">
        <f>SUM('DOE25'!G152:G160)</f>
        <v>32454.59</v>
      </c>
      <c r="E87" s="95">
        <f>SUM('DOE25'!H152:H160)</f>
        <v>260341.11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73568.88</v>
      </c>
      <c r="D90" s="131">
        <f>SUM(D84:D89)</f>
        <v>32454.59</v>
      </c>
      <c r="E90" s="131">
        <f>SUM(E84:E89)</f>
        <v>260341.11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33400.259999999995</v>
      </c>
      <c r="E95" s="95">
        <f>'DOE25'!H178</f>
        <v>0</v>
      </c>
      <c r="F95" s="95">
        <f>'DOE25'!I178</f>
        <v>0</v>
      </c>
      <c r="G95" s="95">
        <f>'DOE25'!J178</f>
        <v>65000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33400.259999999995</v>
      </c>
      <c r="E102" s="86">
        <f>SUM(E92:E101)</f>
        <v>0</v>
      </c>
      <c r="F102" s="86">
        <f>SUM(F92:F101)</f>
        <v>0</v>
      </c>
      <c r="G102" s="86">
        <f>SUM(G92:G101)</f>
        <v>65000</v>
      </c>
    </row>
    <row r="103" spans="1:7" ht="12.75" thickTop="1" thickBot="1" x14ac:dyDescent="0.25">
      <c r="A103" s="33" t="s">
        <v>765</v>
      </c>
      <c r="C103" s="86">
        <f>C62+C80+C90+C102</f>
        <v>17835591.77</v>
      </c>
      <c r="D103" s="86">
        <f>D62+D80+D90+D102</f>
        <v>430755.77000000008</v>
      </c>
      <c r="E103" s="86">
        <f>E62+E80+E90+E102</f>
        <v>263553.20999999996</v>
      </c>
      <c r="F103" s="86">
        <f>F62+F80+F90+F102</f>
        <v>0.01</v>
      </c>
      <c r="G103" s="86">
        <f>G62+G80+G102</f>
        <v>166702.93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7587711.5199999996</v>
      </c>
      <c r="D108" s="24" t="s">
        <v>289</v>
      </c>
      <c r="E108" s="95">
        <f>('DOE25'!L275)+('DOE25'!L294)+('DOE25'!L313)</f>
        <v>13473.9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3369220.4299999997</v>
      </c>
      <c r="D109" s="24" t="s">
        <v>289</v>
      </c>
      <c r="E109" s="95">
        <f>('DOE25'!L276)+('DOE25'!L295)+('DOE25'!L314)</f>
        <v>223345.41999999998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445003.89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10871.599999999999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11412807.439999999</v>
      </c>
      <c r="D114" s="86">
        <f>SUM(D108:D113)</f>
        <v>0</v>
      </c>
      <c r="E114" s="86">
        <f>SUM(E108:E113)</f>
        <v>236819.31999999998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1022385.6200000001</v>
      </c>
      <c r="D117" s="24" t="s">
        <v>289</v>
      </c>
      <c r="E117" s="95">
        <f>+('DOE25'!L280)+('DOE25'!L299)+('DOE25'!L318)</f>
        <v>526.64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507642.44</v>
      </c>
      <c r="D118" s="24" t="s">
        <v>289</v>
      </c>
      <c r="E118" s="95">
        <f>+('DOE25'!L281)+('DOE25'!L300)+('DOE25'!L319)</f>
        <v>26207.25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761861.19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759081.59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2700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1303603.9099999999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580567.4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310373.92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429294.76999999996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5248216.07</v>
      </c>
      <c r="D127" s="86">
        <f>SUM(D117:D126)</f>
        <v>429294.76999999996</v>
      </c>
      <c r="E127" s="86">
        <f>SUM(E117:E126)</f>
        <v>26733.89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580000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14350.42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621.41</v>
      </c>
    </row>
    <row r="134" spans="1:7" x14ac:dyDescent="0.2">
      <c r="A134" t="s">
        <v>233</v>
      </c>
      <c r="B134" s="32" t="s">
        <v>234</v>
      </c>
      <c r="C134" s="95">
        <f>'DOE25'!L262</f>
        <v>33400.259999999995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145464.54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21238.39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-101702.93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692750.68000000017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621.41</v>
      </c>
    </row>
    <row r="144" spans="1:7" ht="12.75" thickTop="1" thickBot="1" x14ac:dyDescent="0.25">
      <c r="A144" s="33" t="s">
        <v>244</v>
      </c>
      <c r="C144" s="86">
        <f>(C114+C127+C143)</f>
        <v>17353774.190000001</v>
      </c>
      <c r="D144" s="86">
        <f>(D114+D127+D143)</f>
        <v>429294.76999999996</v>
      </c>
      <c r="E144" s="86">
        <f>(E114+E127+E143)</f>
        <v>263553.20999999996</v>
      </c>
      <c r="F144" s="86">
        <f>(F114+F127+F143)</f>
        <v>0</v>
      </c>
      <c r="G144" s="86">
        <f>(G114+G127+G143)</f>
        <v>621.41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06/02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07/12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5800000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5.0999999999999996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580000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580000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580000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580000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SOUHEGAN COOPERATIVE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19318</v>
      </c>
    </row>
    <row r="7" spans="1:4" x14ac:dyDescent="0.2">
      <c r="B7" t="s">
        <v>705</v>
      </c>
      <c r="C7" s="179">
        <f>IF('DOE25'!I664+'DOE25'!I669=0,0,ROUND('DOE25'!I671,0))</f>
        <v>19318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7601185</v>
      </c>
      <c r="D10" s="182">
        <f>ROUND((C10/$C$28)*100,1)</f>
        <v>44.7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3592566</v>
      </c>
      <c r="D11" s="182">
        <f>ROUND((C11/$C$28)*100,1)</f>
        <v>21.1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445004</v>
      </c>
      <c r="D13" s="182">
        <f>ROUND((C13/$C$28)*100,1)</f>
        <v>2.6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1022912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533850</v>
      </c>
      <c r="D16" s="182">
        <f t="shared" si="0"/>
        <v>3.1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1072235</v>
      </c>
      <c r="D17" s="182">
        <f t="shared" si="0"/>
        <v>6.3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759082</v>
      </c>
      <c r="D18" s="182">
        <f t="shared" si="0"/>
        <v>4.5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2700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1303604</v>
      </c>
      <c r="D20" s="182">
        <f t="shared" si="0"/>
        <v>7.7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580567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10872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ROUND('DOE25'!L260+'DOE25'!L341,0)</f>
        <v>14350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65435.169999999984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17004362.170000002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17004362.170000002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580000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13195130</v>
      </c>
      <c r="D35" s="182">
        <f t="shared" ref="D35:D40" si="1">ROUND((C35/$C$41)*100,1)</f>
        <v>72.400000000000006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360600.95999999903</v>
      </c>
      <c r="D36" s="182">
        <f t="shared" si="1"/>
        <v>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3647661</v>
      </c>
      <c r="D37" s="182">
        <f t="shared" si="1"/>
        <v>20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664587</v>
      </c>
      <c r="D38" s="182">
        <f t="shared" si="1"/>
        <v>3.6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366365</v>
      </c>
      <c r="D39" s="182">
        <f t="shared" si="1"/>
        <v>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18234343.960000001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SOUHEGAN COOPERATIVE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4</v>
      </c>
      <c r="B4" s="219">
        <v>6</v>
      </c>
      <c r="C4" s="284" t="s">
        <v>914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 t="s">
        <v>915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2013-09-17T14:13:25Z</cp:lastPrinted>
  <dcterms:created xsi:type="dcterms:W3CDTF">1997-12-04T19:04:30Z</dcterms:created>
  <dcterms:modified xsi:type="dcterms:W3CDTF">2013-12-05T18:59:40Z</dcterms:modified>
</cp:coreProperties>
</file>