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2295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0" i="1" l="1"/>
  <c r="F520" i="1"/>
  <c r="C20" i="12"/>
  <c r="B20" i="12"/>
  <c r="G530" i="1"/>
  <c r="C12" i="12"/>
  <c r="C21" i="12"/>
  <c r="G202" i="1"/>
  <c r="H603" i="1"/>
  <c r="H276" i="1"/>
  <c r="G276" i="1"/>
  <c r="B12" i="12"/>
  <c r="H158" i="1"/>
  <c r="H388" i="1"/>
  <c r="J467" i="1"/>
  <c r="G439" i="1"/>
  <c r="F439" i="1"/>
  <c r="F579" i="1"/>
  <c r="F530" i="1" l="1"/>
  <c r="H520" i="1"/>
  <c r="H196" i="1"/>
  <c r="B21" i="12"/>
  <c r="H207" i="1"/>
  <c r="H197" i="1"/>
  <c r="I202" i="1"/>
  <c r="H206" i="1"/>
  <c r="H203" i="1"/>
  <c r="H202" i="1"/>
  <c r="F202" i="1"/>
  <c r="F201" i="1"/>
  <c r="F12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C16" i="10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C12" i="10" s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3" i="10"/>
  <c r="C15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E114" i="2" s="1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J643" i="1" s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163" i="2"/>
  <c r="G159" i="2"/>
  <c r="C18" i="2"/>
  <c r="F31" i="2"/>
  <c r="C26" i="10"/>
  <c r="L327" i="1"/>
  <c r="H659" i="1" s="1"/>
  <c r="H663" i="1" s="1"/>
  <c r="L350" i="1"/>
  <c r="I661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D5" i="13"/>
  <c r="C5" i="13" s="1"/>
  <c r="E16" i="13"/>
  <c r="E33" i="13" s="1"/>
  <c r="D35" i="13" s="1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H33" i="13"/>
  <c r="C16" i="13" l="1"/>
  <c r="E144" i="2"/>
  <c r="L289" i="1"/>
  <c r="F659" i="1" s="1"/>
  <c r="F663" i="1" s="1"/>
  <c r="F671" i="1" s="1"/>
  <c r="C4" i="10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I659" i="1" l="1"/>
  <c r="I663" i="1" s="1"/>
  <c r="I671" i="1" s="1"/>
  <c r="C7" i="10" s="1"/>
  <c r="F666" i="1"/>
  <c r="D31" i="13"/>
  <c r="C31" i="13" s="1"/>
  <c r="L337" i="1"/>
  <c r="L351" i="1" s="1"/>
  <c r="G632" i="1" s="1"/>
  <c r="J632" i="1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<sst xmlns="http://schemas.openxmlformats.org/spreadsheetml/2006/main" count="3947" uniqueCount="913">
  <si>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</si>
  <si>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</si>
  <si>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</si>
  <si>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</si>
  <si>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</si>
  <si>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</si>
  <si>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</si>
  <si>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</si>
  <si>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</si>
  <si>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</si>
  <si>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</si>
  <si>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</si>
  <si>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</si>
  <si>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</si>
  <si>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</si>
  <si>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</si>
  <si>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</si>
  <si>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</si>
  <si>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</si>
  <si>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</si>
  <si>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</si>
  <si>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</si>
  <si>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</si>
  <si>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</si>
  <si>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</si>
  <si>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</si>
  <si>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</si>
  <si>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</si>
  <si>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</si>
  <si>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</si>
  <si>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</si>
  <si>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</si>
  <si>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</si>
  <si>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</si>
  <si>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</si>
  <si>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</si>
  <si>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</si>
  <si>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</si>
  <si>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</si>
  <si>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</si>
  <si>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</si>
  <si>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</si>
  <si>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</si>
  <si>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</si>
  <si>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</si>
  <si>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</si>
  <si>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</si>
  <si>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</si>
  <si>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</si>
  <si>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</si>
  <si>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</si>
  <si>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</si>
  <si>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</si>
  <si>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</si>
  <si>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</si>
  <si>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</si>
  <si>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</si>
  <si>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</si>
  <si>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</si>
  <si>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</si>
  <si>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</si>
  <si>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</si>
  <si>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</si>
  <si>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</si>
  <si>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</si>
  <si>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</si>
  <si>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</si>
  <si>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</si>
  <si>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</si>
  <si>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</si>
  <si>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</si>
  <si>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</si>
  <si>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</si>
  <si>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</si>
  <si>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</si>
  <si>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</si>
  <si>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</si>
  <si>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</si>
  <si>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</si>
  <si>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</si>
  <si>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</si>
  <si>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</si>
  <si>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</si>
  <si>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</si>
  <si>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</si>
  <si>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</si>
  <si>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</si>
  <si>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</si>
  <si>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</si>
  <si>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</si>
  <si>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</si>
  <si>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</si>
  <si>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</si>
  <si>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</si>
  <si>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</si>
  <si>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</si>
  <si>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</si>
  <si>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</si>
  <si>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</si>
  <si>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</si>
  <si>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</si>
  <si>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</si>
  <si>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</si>
  <si>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</si>
  <si>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</si>
  <si>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</si>
  <si>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</si>
  <si>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</si>
  <si>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</si>
  <si>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</si>
  <si>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</si>
  <si>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</si>
  <si>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</si>
  <si>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</si>
  <si>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</si>
  <si>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</si>
  <si>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</si>
  <si>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</si>
  <si>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</si>
  <si>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</si>
  <si>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</si>
  <si>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</si>
  <si>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</si>
  <si>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</si>
  <si>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</si>
  <si>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</si>
  <si>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</si>
  <si>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</si>
  <si>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</si>
  <si>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</si>
  <si>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</si>
  <si>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</si>
  <si>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</si>
  <si>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</si>
  <si>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</si>
  <si>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</si>
  <si>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</si>
  <si>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</si>
  <si>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</si>
  <si>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</si>
  <si>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</si>
  <si>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</si>
  <si>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</si>
  <si>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</si>
  <si>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</si>
  <si>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</si>
  <si>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</si>
  <si>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</si>
  <si>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</si>
  <si>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</si>
  <si>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</si>
  <si>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</si>
  <si>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</si>
  <si>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</si>
  <si>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</si>
  <si>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</si>
  <si>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</si>
  <si>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</si>
  <si>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</si>
  <si>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</si>
  <si>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</si>
  <si>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</si>
  <si>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</si>
  <si>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</si>
  <si>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</si>
  <si>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</si>
  <si>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</si>
  <si>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</si>
  <si>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</si>
  <si>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</si>
  <si>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</si>
  <si>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</si>
  <si>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</si>
  <si>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</si>
  <si>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</si>
  <si>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</si>
  <si>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</si>
  <si>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</si>
  <si>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</si>
  <si>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</si>
  <si>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</si>
  <si>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</si>
  <si>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</si>
  <si>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</si>
  <si>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</si>
  <si>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</si>
  <si>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</si>
  <si>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</si>
  <si>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</si>
  <si>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</si>
  <si>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</si>
  <si>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</si>
  <si>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</si>
  <si>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</si>
  <si>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</si>
  <si>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</si>
  <si>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</si>
  <si>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</si>
  <si>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</si>
  <si>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</si>
  <si>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</si>
  <si>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</si>
  <si>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</si>
  <si>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</si>
  <si>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</si>
  <si>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</si>
  <si>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</si>
  <si>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</si>
  <si>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</si>
  <si>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</si>
  <si>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</si>
  <si>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</si>
  <si>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</si>
  <si>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</si>
  <si>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</si>
  <si>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</si>
  <si>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</si>
  <si>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</si>
  <si>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</si>
  <si>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</si>
  <si>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</si>
  <si>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</si>
  <si>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</si>
  <si>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</si>
  <si>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</si>
  <si>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</si>
  <si>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</si>
  <si>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</si>
  <si>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</si>
  <si>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</si>
  <si>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</si>
  <si>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</si>
  <si>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</si>
  <si>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</si>
  <si>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</si>
  <si>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</si>
  <si>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</si>
  <si>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</si>
  <si>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</si>
  <si>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</si>
  <si>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</si>
  <si>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</si>
  <si>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</si>
  <si>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</si>
  <si>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</si>
  <si>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</si>
  <si>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</si>
  <si>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</si>
  <si>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</si>
  <si>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</si>
  <si>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</si>
  <si>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</si>
  <si>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</si>
  <si>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</si>
  <si>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</si>
  <si>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</si>
  <si>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</si>
  <si>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</si>
  <si>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</si>
  <si>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</si>
  <si>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</si>
  <si>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</si>
  <si>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</si>
  <si>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</si>
  <si>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</si>
  <si>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</si>
  <si>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</si>
  <si>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</si>
  <si>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</si>
  <si>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</si>
  <si>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</si>
  <si>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</si>
  <si>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</si>
  <si>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</si>
  <si>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</si>
  <si>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</si>
  <si>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</si>
  <si>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</si>
  <si>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</si>
  <si>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</si>
  <si>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</si>
  <si>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</si>
  <si>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</si>
  <si>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</si>
  <si>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</si>
  <si>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</si>
  <si>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</si>
  <si>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</si>
  <si>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</si>
  <si>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</si>
  <si>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</si>
  <si>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</si>
  <si>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</si>
  <si>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</si>
  <si>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</si>
  <si>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</si>
  <si>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</si>
  <si>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</si>
  <si>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</si>
  <si>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</si>
  <si>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</si>
  <si>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</si>
  <si>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</si>
  <si>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</si>
  <si>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</si>
  <si>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</si>
  <si>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</si>
  <si>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</si>
  <si>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</si>
  <si>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</si>
  <si>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</si>
  <si>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</si>
  <si>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</si>
  <si>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</si>
  <si>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</si>
  <si>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</si>
  <si>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</si>
  <si>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</si>
  <si>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</si>
  <si>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</si>
  <si>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</si>
  <si>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</si>
  <si>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</si>
  <si>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</si>
  <si>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</si>
  <si>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</si>
  <si>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</si>
  <si>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</si>
  <si>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</si>
  <si>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</si>
  <si>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</si>
  <si>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</si>
  <si>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</si>
  <si>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</si>
  <si>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</si>
  <si>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</si>
  <si>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</si>
  <si>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</si>
  <si>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</si>
  <si>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</si>
  <si>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</si>
  <si>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</si>
  <si>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</si>
  <si>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</si>
  <si>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</si>
  <si>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</si>
  <si>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</si>
  <si>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</si>
  <si>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</si>
  <si>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</si>
  <si>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</si>
  <si>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</si>
  <si>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</si>
  <si>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</si>
  <si>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</si>
  <si>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</si>
  <si>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</si>
  <si>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</si>
  <si>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</si>
  <si>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</si>
  <si>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</si>
  <si>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</si>
  <si>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</si>
  <si>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</si>
  <si>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</si>
  <si>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</si>
  <si>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</si>
  <si>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</si>
  <si>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</si>
  <si>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</si>
  <si>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</si>
  <si>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</si>
  <si>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</si>
  <si>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</si>
  <si>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</si>
  <si>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</si>
  <si>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</si>
  <si>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</si>
  <si>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</si>
  <si>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</si>
  <si>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</si>
  <si>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</si>
  <si>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</si>
  <si>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</si>
  <si>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</si>
  <si>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</si>
  <si>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</si>
  <si>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</si>
  <si>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</si>
  <si>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</si>
  <si>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</si>
  <si>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</si>
  <si>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</si>
  <si>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</si>
  <si>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</si>
  <si>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</si>
  <si>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</si>
  <si>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</si>
  <si>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</si>
  <si>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</si>
  <si>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</si>
  <si>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</si>
  <si>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</si>
  <si>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</si>
  <si>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</si>
  <si>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</si>
  <si>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</si>
  <si>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</si>
  <si>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</si>
  <si>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</si>
  <si>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</si>
  <si>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</si>
  <si>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</si>
  <si>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</si>
  <si>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</si>
  <si>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</si>
  <si>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</si>
  <si>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</si>
  <si>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</si>
  <si>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</si>
  <si>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</si>
  <si>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</si>
  <si>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</si>
  <si>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</si>
  <si>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</si>
  <si>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</si>
  <si>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</si>
  <si>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</si>
  <si>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</si>
  <si>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</si>
  <si>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</si>
  <si>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</si>
  <si>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</si>
  <si>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</si>
  <si>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</si>
  <si>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</si>
  <si>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</si>
  <si>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</si>
  <si>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</si>
  <si>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</si>
  <si>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</si>
  <si>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</si>
  <si>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</si>
  <si>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</si>
  <si>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</si>
  <si>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</si>
  <si>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</si>
  <si>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</si>
  <si>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</si>
  <si>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</si>
  <si>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</si>
  <si>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</si>
  <si>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</si>
  <si>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</si>
  <si>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</si>
  <si>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</si>
  <si>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</si>
  <si>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</si>
  <si>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</si>
  <si>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</si>
  <si>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</si>
  <si>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</si>
  <si>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</si>
  <si>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</si>
  <si>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</si>
  <si>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</si>
  <si>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</si>
  <si>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</si>
  <si>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</si>
  <si>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</si>
  <si>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</si>
  <si>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</si>
  <si>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</si>
  <si>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</si>
  <si>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</si>
  <si>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</si>
  <si>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</si>
  <si>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</si>
  <si>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</si>
  <si>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</si>
  <si>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</si>
  <si>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</si>
  <si>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</si>
  <si>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</si>
  <si>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</si>
  <si>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</si>
  <si>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</si>
  <si>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</si>
  <si>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</si>
  <si>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</si>
  <si>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</si>
  <si>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</si>
  <si>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</si>
  <si>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</si>
  <si>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</si>
  <si>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</si>
  <si>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</si>
  <si>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</si>
  <si>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</si>
  <si>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</si>
  <si>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</si>
  <si>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</si>
  <si>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</si>
  <si>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</si>
  <si>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</si>
  <si>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</si>
  <si>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</si>
  <si>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</si>
  <si>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</si>
  <si>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</si>
  <si>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</si>
  <si>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</si>
  <si>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</si>
  <si>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</si>
  <si>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</si>
  <si>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</si>
  <si>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</si>
  <si>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</si>
  <si>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</si>
  <si>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</si>
  <si>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</si>
  <si>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</si>
  <si>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</si>
  <si>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</si>
  <si>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</si>
  <si>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</si>
  <si>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</si>
  <si>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</si>
  <si>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</si>
  <si>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</si>
  <si>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</si>
  <si>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</si>
  <si>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</si>
  <si>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</si>
  <si>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</si>
  <si>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</si>
  <si>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</si>
  <si>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</si>
  <si>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</si>
  <si>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</si>
  <si>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</si>
  <si>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</si>
  <si>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</si>
  <si>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</si>
  <si>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</si>
  <si>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</si>
  <si>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</si>
  <si>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</si>
  <si>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</si>
  <si>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</si>
  <si>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</si>
  <si>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</si>
  <si>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</si>
  <si>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</si>
  <si>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</si>
  <si>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</si>
  <si>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</si>
  <si>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</si>
  <si>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</si>
  <si>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</si>
  <si>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</si>
  <si>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</si>
  <si>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</si>
  <si>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</si>
  <si>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</si>
  <si>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</si>
  <si>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</si>
  <si>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</si>
  <si>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</si>
  <si>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</si>
  <si>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</si>
  <si>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</si>
  <si>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</si>
  <si>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</si>
  <si>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</si>
  <si>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</si>
  <si>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</si>
  <si>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</si>
  <si>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</si>
  <si>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</si>
  <si>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</si>
  <si>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</si>
  <si>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</si>
  <si>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</si>
  <si>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</si>
  <si>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</si>
  <si>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</si>
  <si>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</si>
  <si>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</si>
  <si>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</si>
  <si>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</si>
  <si>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</si>
  <si>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</si>
  <si>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</si>
  <si>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</si>
  <si>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</si>
  <si>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</si>
  <si>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</si>
  <si>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</si>
  <si>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</si>
  <si>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</si>
  <si>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</si>
  <si>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</si>
  <si>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</si>
  <si>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</si>
  <si>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</si>
  <si>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</si>
  <si>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</si>
  <si>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</si>
  <si>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</si>
  <si>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</si>
  <si>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</si>
  <si>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</si>
  <si>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</si>
  <si>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</si>
  <si>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</si>
  <si>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</si>
  <si>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</si>
  <si>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</si>
  <si>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</si>
  <si>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</si>
  <si>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</si>
  <si>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</si>
  <si>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</si>
  <si>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</si>
  <si>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</si>
  <si>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</si>
  <si>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</si>
  <si>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</si>
  <si>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</si>
  <si>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</si>
  <si>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</si>
  <si>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</si>
  <si>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</si>
  <si>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</si>
  <si>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</si>
  <si>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</si>
  <si>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</si>
  <si>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</si>
  <si>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</si>
  <si>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</si>
  <si>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</si>
  <si>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</si>
  <si>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</si>
  <si>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</si>
  <si>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</si>
  <si>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</si>
  <si>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</si>
  <si>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</si>
  <si>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</si>
  <si>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</si>
  <si>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</si>
  <si>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</si>
  <si>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</si>
  <si>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</si>
  <si>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</si>
  <si>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</si>
  <si>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</si>
  <si>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</si>
  <si>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</si>
  <si>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</si>
  <si>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</si>
  <si>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</si>
  <si>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</si>
  <si>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</si>
  <si>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</si>
  <si>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</si>
  <si>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</si>
  <si>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</si>
  <si>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</si>
  <si>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</si>
  <si>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</si>
  <si>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</si>
  <si>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</si>
  <si>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</si>
  <si>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</si>
  <si>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</si>
  <si>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</si>
  <si>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</si>
  <si>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</si>
  <si>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</si>
  <si>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</si>
  <si>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</si>
  <si>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</si>
  <si>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</si>
  <si>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</si>
  <si>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</si>
  <si>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</si>
  <si>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</si>
  <si>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</si>
  <si>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</si>
  <si>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</si>
  <si>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</si>
  <si>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</si>
  <si>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</si>
  <si>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</si>
  <si>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</si>
  <si>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</si>
  <si>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</si>
  <si>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</si>
  <si>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</si>
  <si>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</si>
  <si>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</si>
  <si>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</si>
  <si>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</si>
  <si>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</si>
  <si>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</si>
  <si>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</si>
  <si>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</si>
  <si>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</si>
  <si>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</si>
  <si>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</si>
  <si>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</si>
  <si>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</si>
  <si>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</si>
  <si>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</si>
  <si>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</si>
  <si>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</si>
  <si>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</si>
  <si>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</si>
  <si>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</si>
  <si>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</si>
  <si>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</si>
  <si>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</si>
  <si>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</si>
  <si>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</si>
  <si>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</si>
  <si>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</si>
  <si>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</si>
  <si>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</si>
  <si>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</si>
  <si>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</si>
  <si>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</si>
  <si>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</si>
  <si>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</si>
  <si>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</si>
  <si>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</si>
  <si>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</si>
  <si>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</si>
  <si>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</si>
  <si>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</si>
  <si>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</si>
  <si>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</si>
  <si>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</si>
  <si>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</si>
  <si>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</si>
  <si>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</si>
  <si>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</si>
  <si>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</si>
  <si>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</si>
  <si>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</si>
  <si>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</si>
  <si>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</si>
  <si>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</si>
  <si>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</si>
  <si>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</si>
  <si>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</si>
  <si>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</si>
  <si>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</si>
  <si>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</si>
  <si>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</si>
  <si>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</si>
  <si>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</si>
  <si>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</si>
  <si>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</si>
  <si>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</si>
  <si>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</si>
  <si>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</si>
  <si>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</si>
  <si>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</si>
  <si>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</si>
  <si>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</si>
  <si>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</si>
  <si>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</si>
  <si>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</si>
  <si>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</si>
  <si>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</si>
  <si>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</si>
  <si>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</si>
  <si>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</si>
  <si>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</si>
  <si>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</si>
  <si>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</si>
  <si>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</si>
  <si>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</si>
  <si>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</si>
  <si>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</si>
  <si>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</si>
  <si>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</si>
  <si>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</si>
  <si>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</si>
  <si>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</si>
  <si>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</si>
  <si>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</si>
  <si>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</si>
  <si>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</si>
  <si>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</si>
  <si>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</si>
  <si>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</si>
  <si>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</si>
  <si>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</si>
  <si>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</si>
  <si>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</si>
  <si>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</si>
  <si>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</si>
  <si>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</si>
  <si>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</si>
  <si>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</si>
  <si>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</si>
  <si>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</si>
  <si>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</si>
  <si>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</si>
  <si>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</si>
  <si>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</si>
  <si>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</si>
  <si>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</si>
  <si>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</si>
  <si>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</si>
  <si>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</si>
  <si>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</si>
  <si>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</si>
  <si>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</si>
  <si>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</si>
  <si>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</si>
  <si>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</si>
  <si>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</si>
  <si>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</si>
  <si>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</si>
  <si>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</si>
  <si>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</si>
  <si>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</si>
  <si>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</si>
  <si>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</si>
  <si>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</si>
  <si>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</si>
  <si>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</si>
  <si>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</si>
  <si>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</si>
  <si>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</si>
  <si>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</si>
  <si>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</si>
  <si>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</si>
  <si>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</si>
  <si>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</si>
  <si>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</si>
  <si>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</si>
  <si>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</si>
  <si>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</si>
  <si>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</si>
  <si>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</si>
  <si>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</si>
  <si>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</si>
  <si>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</si>
  <si>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</si>
  <si>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</si>
  <si>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</si>
  <si>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</si>
  <si>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</si>
  <si>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</si>
  <si>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</si>
  <si>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</si>
  <si>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</si>
  <si>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</si>
  <si>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</si>
  <si>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</si>
  <si>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</si>
  <si>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</si>
  <si>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</si>
  <si>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</si>
  <si>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</si>
  <si>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</si>
  <si>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</si>
  <si>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</si>
  <si>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</si>
  <si>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</si>
  <si>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</si>
  <si>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</si>
  <si>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</si>
  <si>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</si>
  <si>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</si>
  <si>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</si>
  <si>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</si>
  <si>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</si>
  <si>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</si>
  <si>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</si>
  <si>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</si>
  <si>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</si>
  <si>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</si>
  <si>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</si>
  <si>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</si>
  <si>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</si>
  <si>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</si>
  <si>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</si>
  <si>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</si>
  <si>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</si>
  <si>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</si>
  <si>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</si>
  <si>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</si>
  <si>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</si>
  <si>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</si>
  <si>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</si>
  <si>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</si>
  <si>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</si>
  <si>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</si>
  <si>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</si>
  <si>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</si>
  <si>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</si>
  <si>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</si>
  <si>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</si>
  <si>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SOUTH HAMPTON</t>
  </si>
  <si>
    <t>August 2000</t>
  </si>
  <si>
    <t>August 2015</t>
  </si>
  <si>
    <t>Audit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</si>
</sst>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48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495</v>
      </c>
      <c r="C2" s="21">
        <v>495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292525.62+200</f>
        <v>292725.62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29037.53</v>
      </c>
      <c r="G10" s="18"/>
      <c r="H10" s="18"/>
      <c r="I10" s="18">
        <v>29688.47</v>
      </c>
      <c r="J10" s="67">
        <f>SUM(I439)</f>
        <v>156985.53999999998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1209.68+253.24</f>
        <v>1462.92</v>
      </c>
      <c r="G12" s="18"/>
      <c r="H12" s="18">
        <v>1209.68</v>
      </c>
      <c r="I12" s="18">
        <v>12396.72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330.8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531.36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323757.43</v>
      </c>
      <c r="G19" s="41">
        <f>SUM(G9:G18)</f>
        <v>330.8</v>
      </c>
      <c r="H19" s="41">
        <f>SUM(H9:H18)</f>
        <v>1209.68</v>
      </c>
      <c r="I19" s="41">
        <f>SUM(I9:I18)</f>
        <v>42085.19</v>
      </c>
      <c r="J19" s="41">
        <f>SUM(J9:J18)</f>
        <v>156985.53999999998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253.24</v>
      </c>
      <c r="H22" s="18">
        <v>1209.68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96959.67</v>
      </c>
      <c r="G24" s="18">
        <v>5.24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3574.8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49261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149795.47</v>
      </c>
      <c r="G32" s="41">
        <f>SUM(G22:G31)</f>
        <v>258.48</v>
      </c>
      <c r="H32" s="41">
        <f>SUM(H22:H31)</f>
        <v>1209.68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72.319999999999993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569.02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>
        <v>42085.19</v>
      </c>
      <c r="J47" s="13">
        <f>SUM(I458)</f>
        <v>156985.54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10620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137772.94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173961.96000000002</v>
      </c>
      <c r="G50" s="41">
        <f>SUM(G35:G49)</f>
        <v>72.319999999999993</v>
      </c>
      <c r="H50" s="41">
        <f>SUM(H35:H49)</f>
        <v>0</v>
      </c>
      <c r="I50" s="41">
        <f>SUM(I35:I49)</f>
        <v>42085.19</v>
      </c>
      <c r="J50" s="41">
        <f>SUM(J35:J49)</f>
        <v>156985.54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323757.43000000005</v>
      </c>
      <c r="G51" s="41">
        <f>G50+G32</f>
        <v>330.8</v>
      </c>
      <c r="H51" s="41">
        <f>H50+H32</f>
        <v>1209.68</v>
      </c>
      <c r="I51" s="41">
        <f>I50+I32</f>
        <v>42085.19</v>
      </c>
      <c r="J51" s="41">
        <f>J50+J32</f>
        <v>156985.54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1372306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1372306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120.05</v>
      </c>
      <c r="G95" s="18"/>
      <c r="H95" s="18"/>
      <c r="I95" s="18">
        <v>21.96</v>
      </c>
      <c r="J95" s="18">
        <v>106.67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924.21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4122.37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4242.42</v>
      </c>
      <c r="G110" s="41">
        <f>SUM(G95:G109)</f>
        <v>924.21</v>
      </c>
      <c r="H110" s="41">
        <f>SUM(H95:H109)</f>
        <v>0</v>
      </c>
      <c r="I110" s="41">
        <f>SUM(I95:I109)</f>
        <v>21.96</v>
      </c>
      <c r="J110" s="41">
        <f>SUM(J95:J109)</f>
        <v>106.67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1376548.42</v>
      </c>
      <c r="G111" s="41">
        <f>G59+G110</f>
        <v>924.21</v>
      </c>
      <c r="H111" s="41">
        <f>H59+H78+H93+H110</f>
        <v>0</v>
      </c>
      <c r="I111" s="41">
        <f>I59+I110</f>
        <v>21.96</v>
      </c>
      <c r="J111" s="41">
        <f>J59+J110</f>
        <v>106.67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113956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342641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456597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41660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11972.7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42007.76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2132.21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97772.67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554369.67000000004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1280.42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232.96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607.8+8624.56</f>
        <v>9232.3599999999988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232.96</v>
      </c>
      <c r="H161" s="41">
        <f>SUM(H149:H160)</f>
        <v>10512.779999999999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232.96</v>
      </c>
      <c r="H168" s="41">
        <f>H146+H161+SUM(H162:H167)</f>
        <v>10512.779999999999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32000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32000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32000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1930918.0899999999</v>
      </c>
      <c r="G192" s="47">
        <f>G111+G139+G168+G191</f>
        <v>1157.17</v>
      </c>
      <c r="H192" s="47">
        <f>H111+H139+H168+H191</f>
        <v>10512.779999999999</v>
      </c>
      <c r="I192" s="47">
        <f>I111+I139+I168+I191</f>
        <v>21.96</v>
      </c>
      <c r="J192" s="47">
        <f>J111+J139+J191</f>
        <v>32106.67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454187.11</v>
      </c>
      <c r="G196" s="18">
        <v>164724.93</v>
      </c>
      <c r="H196" s="18">
        <f>4459.22</f>
        <v>4459.22</v>
      </c>
      <c r="I196" s="18">
        <v>12212.04</v>
      </c>
      <c r="J196" s="18">
        <v>340</v>
      </c>
      <c r="K196" s="18"/>
      <c r="L196" s="19">
        <f>SUM(F196:K196)</f>
        <v>635923.30000000005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127649.45</v>
      </c>
      <c r="G197" s="18">
        <v>54680.14</v>
      </c>
      <c r="H197" s="18">
        <f>162314.81</f>
        <v>162314.81</v>
      </c>
      <c r="I197" s="18">
        <v>85.92</v>
      </c>
      <c r="J197" s="18"/>
      <c r="K197" s="18">
        <v>397</v>
      </c>
      <c r="L197" s="19">
        <f>SUM(F197:K197)</f>
        <v>345127.32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6453</v>
      </c>
      <c r="G199" s="18">
        <v>533.66</v>
      </c>
      <c r="H199" s="18">
        <v>1890</v>
      </c>
      <c r="I199" s="18">
        <v>1004.87</v>
      </c>
      <c r="J199" s="18"/>
      <c r="K199" s="18"/>
      <c r="L199" s="19">
        <f>SUM(F199:K199)</f>
        <v>9881.5300000000007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11616.35+7889.07</f>
        <v>19505.419999999998</v>
      </c>
      <c r="G201" s="18">
        <v>1613.1</v>
      </c>
      <c r="H201" s="18">
        <v>180</v>
      </c>
      <c r="I201" s="18">
        <v>105.72</v>
      </c>
      <c r="J201" s="18">
        <v>215</v>
      </c>
      <c r="K201" s="18"/>
      <c r="L201" s="19">
        <f t="shared" ref="L201:L207" si="0">SUM(F201:K201)</f>
        <v>21619.239999999998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100+29308.16</f>
        <v>29408.16</v>
      </c>
      <c r="G202" s="18">
        <f>4272+2432.05</f>
        <v>6704.05</v>
      </c>
      <c r="H202" s="18">
        <f>6761.45+3348.25</f>
        <v>10109.700000000001</v>
      </c>
      <c r="I202" s="18">
        <f>66.89+13244.66</f>
        <v>13311.55</v>
      </c>
      <c r="J202" s="18">
        <v>19303.419999999998</v>
      </c>
      <c r="K202" s="18"/>
      <c r="L202" s="19">
        <f t="shared" si="0"/>
        <v>78836.88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6840</v>
      </c>
      <c r="G203" s="18">
        <v>523.26</v>
      </c>
      <c r="H203" s="18">
        <f>10002.25+36380</f>
        <v>46382.25</v>
      </c>
      <c r="I203" s="18"/>
      <c r="J203" s="18"/>
      <c r="K203" s="18">
        <v>3254.1</v>
      </c>
      <c r="L203" s="19">
        <f t="shared" si="0"/>
        <v>56999.61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109999.35</v>
      </c>
      <c r="G204" s="18">
        <v>36516.33</v>
      </c>
      <c r="H204" s="18">
        <v>2507.2800000000002</v>
      </c>
      <c r="I204" s="18">
        <v>1234.0999999999999</v>
      </c>
      <c r="J204" s="18"/>
      <c r="K204" s="18">
        <v>879</v>
      </c>
      <c r="L204" s="19">
        <f t="shared" si="0"/>
        <v>151136.06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32288.78</v>
      </c>
      <c r="G206" s="18">
        <v>2670.28</v>
      </c>
      <c r="H206" s="18">
        <f>28227.84+7730</f>
        <v>35957.839999999997</v>
      </c>
      <c r="I206" s="18">
        <v>41632.589999999997</v>
      </c>
      <c r="J206" s="18">
        <v>17975.490000000002</v>
      </c>
      <c r="K206" s="18"/>
      <c r="L206" s="19">
        <f t="shared" si="0"/>
        <v>130524.98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46984.88+2074.44</f>
        <v>49059.32</v>
      </c>
      <c r="I207" s="18"/>
      <c r="J207" s="18"/>
      <c r="K207" s="18"/>
      <c r="L207" s="19">
        <f t="shared" si="0"/>
        <v>49059.32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1000</v>
      </c>
      <c r="H208" s="18"/>
      <c r="I208" s="18"/>
      <c r="J208" s="18"/>
      <c r="K208" s="18">
        <v>257</v>
      </c>
      <c r="L208" s="19">
        <f>SUM(F208:K208)</f>
        <v>1257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786331.27</v>
      </c>
      <c r="G210" s="41">
        <f t="shared" si="1"/>
        <v>268965.75000000006</v>
      </c>
      <c r="H210" s="41">
        <f t="shared" si="1"/>
        <v>312860.42</v>
      </c>
      <c r="I210" s="41">
        <f t="shared" si="1"/>
        <v>69586.789999999994</v>
      </c>
      <c r="J210" s="41">
        <f t="shared" si="1"/>
        <v>37833.910000000003</v>
      </c>
      <c r="K210" s="41">
        <f t="shared" si="1"/>
        <v>4787.1000000000004</v>
      </c>
      <c r="L210" s="41">
        <f t="shared" si="1"/>
        <v>1480365.2400000002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248943</v>
      </c>
      <c r="I232" s="18"/>
      <c r="J232" s="18"/>
      <c r="K232" s="18"/>
      <c r="L232" s="19">
        <f>SUM(F232:K232)</f>
        <v>248943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248943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248943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786331.27</v>
      </c>
      <c r="G256" s="41">
        <f t="shared" si="8"/>
        <v>268965.75000000006</v>
      </c>
      <c r="H256" s="41">
        <f t="shared" si="8"/>
        <v>561803.41999999993</v>
      </c>
      <c r="I256" s="41">
        <f t="shared" si="8"/>
        <v>69586.789999999994</v>
      </c>
      <c r="J256" s="41">
        <f t="shared" si="8"/>
        <v>37833.910000000003</v>
      </c>
      <c r="K256" s="41">
        <f t="shared" si="8"/>
        <v>4787.1000000000004</v>
      </c>
      <c r="L256" s="41">
        <f t="shared" si="8"/>
        <v>1729308.2400000002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115000</v>
      </c>
      <c r="L259" s="19">
        <f>SUM(F259:K259)</f>
        <v>115000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23210</v>
      </c>
      <c r="L260" s="19">
        <f>SUM(F260:K260)</f>
        <v>23210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32000</v>
      </c>
      <c r="L265" s="19">
        <f t="shared" si="9"/>
        <v>32000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170210</v>
      </c>
      <c r="L269" s="41">
        <f t="shared" si="9"/>
        <v>170210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786331.27</v>
      </c>
      <c r="G270" s="42">
        <f t="shared" si="11"/>
        <v>268965.75000000006</v>
      </c>
      <c r="H270" s="42">
        <f t="shared" si="11"/>
        <v>561803.41999999993</v>
      </c>
      <c r="I270" s="42">
        <f t="shared" si="11"/>
        <v>69586.789999999994</v>
      </c>
      <c r="J270" s="42">
        <f t="shared" si="11"/>
        <v>37833.910000000003</v>
      </c>
      <c r="K270" s="42">
        <f t="shared" si="11"/>
        <v>174997.1</v>
      </c>
      <c r="L270" s="42">
        <f t="shared" si="11"/>
        <v>1899518.2400000002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575</v>
      </c>
      <c r="G275" s="18">
        <v>43.99</v>
      </c>
      <c r="H275" s="18">
        <v>645</v>
      </c>
      <c r="I275" s="18"/>
      <c r="J275" s="18"/>
      <c r="K275" s="18"/>
      <c r="L275" s="19">
        <f>SUM(F275:K275)</f>
        <v>1263.99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2184</v>
      </c>
      <c r="G276" s="18">
        <f>167.06+2.94+7.64+9.61</f>
        <v>187.25</v>
      </c>
      <c r="H276" s="18">
        <f>600+5670</f>
        <v>6270</v>
      </c>
      <c r="I276" s="18">
        <v>391.84</v>
      </c>
      <c r="J276" s="18">
        <v>80.790000000000006</v>
      </c>
      <c r="K276" s="18"/>
      <c r="L276" s="19">
        <f>SUM(F276:K276)</f>
        <v>9113.880000000001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134.91</v>
      </c>
      <c r="L282" s="19">
        <f t="shared" si="12"/>
        <v>134.91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2759</v>
      </c>
      <c r="G289" s="42">
        <f t="shared" si="13"/>
        <v>231.24</v>
      </c>
      <c r="H289" s="42">
        <f t="shared" si="13"/>
        <v>6915</v>
      </c>
      <c r="I289" s="42">
        <f t="shared" si="13"/>
        <v>391.84</v>
      </c>
      <c r="J289" s="42">
        <f t="shared" si="13"/>
        <v>80.790000000000006</v>
      </c>
      <c r="K289" s="42">
        <f t="shared" si="13"/>
        <v>134.91</v>
      </c>
      <c r="L289" s="41">
        <f t="shared" si="13"/>
        <v>10512.78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2759</v>
      </c>
      <c r="G337" s="41">
        <f t="shared" si="20"/>
        <v>231.24</v>
      </c>
      <c r="H337" s="41">
        <f t="shared" si="20"/>
        <v>6915</v>
      </c>
      <c r="I337" s="41">
        <f t="shared" si="20"/>
        <v>391.84</v>
      </c>
      <c r="J337" s="41">
        <f t="shared" si="20"/>
        <v>80.790000000000006</v>
      </c>
      <c r="K337" s="41">
        <f t="shared" si="20"/>
        <v>134.91</v>
      </c>
      <c r="L337" s="41">
        <f t="shared" si="20"/>
        <v>10512.78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2759</v>
      </c>
      <c r="G351" s="41">
        <f>G337</f>
        <v>231.24</v>
      </c>
      <c r="H351" s="41">
        <f>H337</f>
        <v>6915</v>
      </c>
      <c r="I351" s="41">
        <f>I337</f>
        <v>391.84</v>
      </c>
      <c r="J351" s="41">
        <f>J337</f>
        <v>80.790000000000006</v>
      </c>
      <c r="K351" s="47">
        <f>K337+K350</f>
        <v>134.91</v>
      </c>
      <c r="L351" s="41">
        <f>L337+L350</f>
        <v>10512.78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550</v>
      </c>
      <c r="G357" s="18"/>
      <c r="H357" s="18"/>
      <c r="I357" s="18">
        <v>534.85</v>
      </c>
      <c r="J357" s="18"/>
      <c r="K357" s="18"/>
      <c r="L357" s="13">
        <f>SUM(F357:K357)</f>
        <v>1084.8499999999999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550</v>
      </c>
      <c r="G361" s="47">
        <f t="shared" si="22"/>
        <v>0</v>
      </c>
      <c r="H361" s="47">
        <f t="shared" si="22"/>
        <v>0</v>
      </c>
      <c r="I361" s="47">
        <f t="shared" si="22"/>
        <v>534.85</v>
      </c>
      <c r="J361" s="47">
        <f t="shared" si="22"/>
        <v>0</v>
      </c>
      <c r="K361" s="47">
        <f t="shared" si="22"/>
        <v>0</v>
      </c>
      <c r="L361" s="47">
        <f t="shared" si="22"/>
        <v>1084.8499999999999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534.85</v>
      </c>
      <c r="G366" s="18"/>
      <c r="H366" s="18"/>
      <c r="I366" s="56">
        <f>SUM(F366:H366)</f>
        <v>534.85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534.85</v>
      </c>
      <c r="G368" s="47">
        <f>SUM(G366:G367)</f>
        <v>0</v>
      </c>
      <c r="H368" s="47">
        <f>SUM(H366:H367)</f>
        <v>0</v>
      </c>
      <c r="I368" s="47">
        <f>SUM(I366:I367)</f>
        <v>534.85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f>4.26</f>
        <v>4.26</v>
      </c>
      <c r="I388" s="18"/>
      <c r="J388" s="24" t="s">
        <v>289</v>
      </c>
      <c r="K388" s="24" t="s">
        <v>289</v>
      </c>
      <c r="L388" s="56">
        <f t="shared" si="25"/>
        <v>4.26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4.26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4.26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v>30.66</v>
      </c>
      <c r="I395" s="18"/>
      <c r="J395" s="24" t="s">
        <v>289</v>
      </c>
      <c r="K395" s="24" t="s">
        <v>289</v>
      </c>
      <c r="L395" s="56">
        <f t="shared" si="26"/>
        <v>10030.66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15000</v>
      </c>
      <c r="H396" s="18">
        <v>68.84</v>
      </c>
      <c r="I396" s="18"/>
      <c r="J396" s="24" t="s">
        <v>289</v>
      </c>
      <c r="K396" s="24" t="s">
        <v>289</v>
      </c>
      <c r="L396" s="56">
        <f t="shared" si="26"/>
        <v>15068.84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7000</v>
      </c>
      <c r="H398" s="18">
        <v>2.91</v>
      </c>
      <c r="I398" s="18"/>
      <c r="J398" s="24" t="s">
        <v>289</v>
      </c>
      <c r="K398" s="24" t="s">
        <v>289</v>
      </c>
      <c r="L398" s="56">
        <f t="shared" si="26"/>
        <v>7002.91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32000</v>
      </c>
      <c r="H400" s="47">
        <f>SUM(H394:H399)</f>
        <v>102.41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32102.41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32000</v>
      </c>
      <c r="H407" s="47">
        <f>H392+H400+H406</f>
        <v>106.67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32106.67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7826</v>
      </c>
      <c r="I421" s="18"/>
      <c r="J421" s="18"/>
      <c r="K421" s="18"/>
      <c r="L421" s="56">
        <f t="shared" si="29"/>
        <v>7826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7826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7826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7826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7826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5674.23+8202.02</f>
        <v>13876.25</v>
      </c>
      <c r="G439" s="18">
        <f>100249.95+42859.34</f>
        <v>143109.28999999998</v>
      </c>
      <c r="H439" s="18"/>
      <c r="I439" s="56">
        <f t="shared" si="33"/>
        <v>156985.53999999998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13876.25</v>
      </c>
      <c r="G445" s="13">
        <f>SUM(G438:G444)</f>
        <v>143109.28999999998</v>
      </c>
      <c r="H445" s="13">
        <f>SUM(H438:H444)</f>
        <v>0</v>
      </c>
      <c r="I445" s="13">
        <f>SUM(I438:I444)</f>
        <v>156985.53999999998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13876.25</v>
      </c>
      <c r="G458" s="18">
        <v>143109.29</v>
      </c>
      <c r="H458" s="18"/>
      <c r="I458" s="56">
        <f t="shared" si="34"/>
        <v>156985.54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13876.25</v>
      </c>
      <c r="G459" s="83">
        <f>SUM(G453:G458)</f>
        <v>143109.29</v>
      </c>
      <c r="H459" s="83">
        <f>SUM(H453:H458)</f>
        <v>0</v>
      </c>
      <c r="I459" s="83">
        <f>SUM(I453:I458)</f>
        <v>156985.54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13876.25</v>
      </c>
      <c r="G460" s="42">
        <f>G451+G459</f>
        <v>143109.29</v>
      </c>
      <c r="H460" s="42">
        <f>H451+H459</f>
        <v>0</v>
      </c>
      <c r="I460" s="42">
        <f>I451+I459</f>
        <v>156985.54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142562.10999999999</v>
      </c>
      <c r="G464" s="18">
        <v>0</v>
      </c>
      <c r="H464" s="18">
        <v>0</v>
      </c>
      <c r="I464" s="18">
        <v>42063.23</v>
      </c>
      <c r="J464" s="18">
        <v>132704.42000000001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1930918.09</v>
      </c>
      <c r="G467" s="18">
        <v>1157.17</v>
      </c>
      <c r="H467" s="18">
        <v>10512.78</v>
      </c>
      <c r="I467" s="18">
        <v>21.96</v>
      </c>
      <c r="J467" s="18">
        <f>32106.67</f>
        <v>32106.67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0.45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1930918.09</v>
      </c>
      <c r="G469" s="53">
        <f>SUM(G467:G468)</f>
        <v>1157.17</v>
      </c>
      <c r="H469" s="53">
        <f>SUM(H467:H468)</f>
        <v>10512.78</v>
      </c>
      <c r="I469" s="53">
        <f>SUM(I467:I468)</f>
        <v>21.96</v>
      </c>
      <c r="J469" s="53">
        <f>SUM(J467:J468)</f>
        <v>32107.119999999999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1899518.24</v>
      </c>
      <c r="G471" s="18">
        <v>1084.8499999999999</v>
      </c>
      <c r="H471" s="18">
        <v>10512.78</v>
      </c>
      <c r="I471" s="18"/>
      <c r="J471" s="18">
        <v>7826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1899518.24</v>
      </c>
      <c r="G473" s="53">
        <f>SUM(G471:G472)</f>
        <v>1084.8499999999999</v>
      </c>
      <c r="H473" s="53">
        <f>SUM(H471:H472)</f>
        <v>10512.78</v>
      </c>
      <c r="I473" s="53">
        <f>SUM(I471:I472)</f>
        <v>0</v>
      </c>
      <c r="J473" s="53">
        <f>SUM(J471:J472)</f>
        <v>7826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173961.9600000002</v>
      </c>
      <c r="G475" s="53">
        <f>(G464+G469)- G473</f>
        <v>72.320000000000164</v>
      </c>
      <c r="H475" s="53">
        <f>(H464+H469)- H473</f>
        <v>0</v>
      </c>
      <c r="I475" s="53">
        <f>(I464+I469)- I473</f>
        <v>42085.19</v>
      </c>
      <c r="J475" s="53">
        <f>(J464+J469)- J473</f>
        <v>156985.54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912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1430000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500000</v>
      </c>
      <c r="G494" s="18"/>
      <c r="H494" s="18"/>
      <c r="I494" s="18"/>
      <c r="J494" s="18"/>
      <c r="K494" s="53">
        <f>SUM(F494:J494)</f>
        <v>500000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138210</v>
      </c>
      <c r="G496" s="18"/>
      <c r="H496" s="18"/>
      <c r="I496" s="18"/>
      <c r="J496" s="18"/>
      <c r="K496" s="53">
        <f t="shared" si="35"/>
        <v>138210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385000</v>
      </c>
      <c r="G497" s="204"/>
      <c r="H497" s="204"/>
      <c r="I497" s="204"/>
      <c r="J497" s="204"/>
      <c r="K497" s="205">
        <f t="shared" si="35"/>
        <v>385000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31245</v>
      </c>
      <c r="G498" s="18"/>
      <c r="H498" s="18"/>
      <c r="I498" s="18"/>
      <c r="J498" s="18"/>
      <c r="K498" s="53">
        <f t="shared" si="35"/>
        <v>31245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416245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416245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120000</v>
      </c>
      <c r="G500" s="204"/>
      <c r="H500" s="204"/>
      <c r="I500" s="204"/>
      <c r="J500" s="204"/>
      <c r="K500" s="205">
        <f t="shared" si="35"/>
        <v>120000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17100</v>
      </c>
      <c r="G501" s="18"/>
      <c r="H501" s="18"/>
      <c r="I501" s="18"/>
      <c r="J501" s="18"/>
      <c r="K501" s="53">
        <f t="shared" si="35"/>
        <v>17100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137100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137100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26783.98+28589.39+2184</f>
        <v>57557.369999999995</v>
      </c>
      <c r="G520" s="18">
        <f>14131.05+2364.34+187.25</f>
        <v>16682.64</v>
      </c>
      <c r="H520" s="18">
        <f>162314.81-70.5</f>
        <v>162244.31</v>
      </c>
      <c r="I520" s="18">
        <v>85.92</v>
      </c>
      <c r="J520" s="18"/>
      <c r="K520" s="18"/>
      <c r="L520" s="88">
        <f>SUM(F520:K520)</f>
        <v>236570.24000000002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57557.369999999995</v>
      </c>
      <c r="G523" s="108">
        <f t="shared" ref="G523:L523" si="36">SUM(G520:G522)</f>
        <v>16682.64</v>
      </c>
      <c r="H523" s="108">
        <f t="shared" si="36"/>
        <v>162244.31</v>
      </c>
      <c r="I523" s="108">
        <f t="shared" si="36"/>
        <v>85.92</v>
      </c>
      <c r="J523" s="108">
        <f t="shared" si="36"/>
        <v>0</v>
      </c>
      <c r="K523" s="108">
        <f t="shared" si="36"/>
        <v>0</v>
      </c>
      <c r="L523" s="89">
        <f t="shared" si="36"/>
        <v>236570.24000000002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68361+3915.08</f>
        <v>72276.08</v>
      </c>
      <c r="G530" s="18">
        <f>37502.35+682.4</f>
        <v>38184.75</v>
      </c>
      <c r="H530" s="18"/>
      <c r="I530" s="18"/>
      <c r="J530" s="18"/>
      <c r="K530" s="18">
        <v>397</v>
      </c>
      <c r="L530" s="88">
        <f>SUM(F530:K530)</f>
        <v>110857.83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72276.08</v>
      </c>
      <c r="G533" s="89">
        <f t="shared" ref="G533:L533" si="38">SUM(G530:G532)</f>
        <v>38184.75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397</v>
      </c>
      <c r="L533" s="89">
        <f t="shared" si="38"/>
        <v>110857.83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70.5</v>
      </c>
      <c r="I535" s="18"/>
      <c r="J535" s="18"/>
      <c r="K535" s="18"/>
      <c r="L535" s="88">
        <f>SUM(F535:K535)</f>
        <v>70.5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70.5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70.5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449.55</v>
      </c>
      <c r="I540" s="18"/>
      <c r="J540" s="18"/>
      <c r="K540" s="18"/>
      <c r="L540" s="88">
        <f>SUM(F540:K540)</f>
        <v>449.55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449.55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449.55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129833.45</v>
      </c>
      <c r="G544" s="89">
        <f t="shared" ref="G544:L544" si="41">G523+G528+G533+G538+G543</f>
        <v>54867.39</v>
      </c>
      <c r="H544" s="89">
        <f t="shared" si="41"/>
        <v>162764.35999999999</v>
      </c>
      <c r="I544" s="89">
        <f t="shared" si="41"/>
        <v>85.92</v>
      </c>
      <c r="J544" s="89">
        <f t="shared" si="41"/>
        <v>0</v>
      </c>
      <c r="K544" s="89">
        <f t="shared" si="41"/>
        <v>397</v>
      </c>
      <c r="L544" s="89">
        <f t="shared" si="41"/>
        <v>347948.12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236570.24000000002</v>
      </c>
      <c r="G548" s="87">
        <f>L525</f>
        <v>0</v>
      </c>
      <c r="H548" s="87">
        <f>L530</f>
        <v>110857.83</v>
      </c>
      <c r="I548" s="87">
        <f>L535</f>
        <v>70.5</v>
      </c>
      <c r="J548" s="87">
        <f>L540</f>
        <v>449.55</v>
      </c>
      <c r="K548" s="87">
        <f>SUM(F548:J548)</f>
        <v>347948.12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236570.24000000002</v>
      </c>
      <c r="G551" s="89">
        <f t="shared" si="42"/>
        <v>0</v>
      </c>
      <c r="H551" s="89">
        <f t="shared" si="42"/>
        <v>110857.83</v>
      </c>
      <c r="I551" s="89">
        <f t="shared" si="42"/>
        <v>70.5</v>
      </c>
      <c r="J551" s="89">
        <f t="shared" si="42"/>
        <v>449.55</v>
      </c>
      <c r="K551" s="89">
        <f t="shared" si="42"/>
        <v>347948.12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248943</v>
      </c>
      <c r="I575" s="87">
        <f t="shared" ref="I575:I586" si="47">SUM(F575:H575)</f>
        <v>248943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f>1765+46684.37</f>
        <v>48449.37</v>
      </c>
      <c r="G579" s="18"/>
      <c r="H579" s="18"/>
      <c r="I579" s="87">
        <f t="shared" si="47"/>
        <v>48449.37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45345.4</v>
      </c>
      <c r="G582" s="18"/>
      <c r="H582" s="18"/>
      <c r="I582" s="87">
        <f t="shared" si="47"/>
        <v>45345.4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43960.98</v>
      </c>
      <c r="I590" s="18"/>
      <c r="J590" s="18"/>
      <c r="K590" s="104">
        <f t="shared" ref="K590:K596" si="48">SUM(H590:J590)</f>
        <v>43960.98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449.55</v>
      </c>
      <c r="I591" s="18"/>
      <c r="J591" s="18"/>
      <c r="K591" s="104">
        <f t="shared" si="48"/>
        <v>449.55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2074.44</v>
      </c>
      <c r="I592" s="18"/>
      <c r="J592" s="18"/>
      <c r="K592" s="104">
        <f t="shared" si="48"/>
        <v>2074.44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1341.9</v>
      </c>
      <c r="I593" s="18"/>
      <c r="J593" s="18"/>
      <c r="K593" s="104">
        <f t="shared" si="48"/>
        <v>1341.9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1232.45</v>
      </c>
      <c r="I594" s="18"/>
      <c r="J594" s="18"/>
      <c r="K594" s="104">
        <f t="shared" si="48"/>
        <v>1232.45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49059.320000000007</v>
      </c>
      <c r="I597" s="108">
        <f>SUM(I590:I596)</f>
        <v>0</v>
      </c>
      <c r="J597" s="108">
        <f>SUM(J590:J596)</f>
        <v>0</v>
      </c>
      <c r="K597" s="108">
        <f>SUM(K590:K596)</f>
        <v>49059.320000000007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37833.91+80.79</f>
        <v>37914.700000000004</v>
      </c>
      <c r="I603" s="18"/>
      <c r="J603" s="18"/>
      <c r="K603" s="104">
        <f>SUM(H603:J603)</f>
        <v>37914.700000000004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37914.700000000004</v>
      </c>
      <c r="I604" s="108">
        <f>SUM(I601:I603)</f>
        <v>0</v>
      </c>
      <c r="J604" s="108">
        <f>SUM(J601:J603)</f>
        <v>0</v>
      </c>
      <c r="K604" s="108">
        <f>SUM(K601:K603)</f>
        <v>37914.700000000004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323757.43</v>
      </c>
      <c r="H616" s="109">
        <f>SUM(F51)</f>
        <v>323757.43000000005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330.8</v>
      </c>
      <c r="H617" s="109">
        <f>SUM(G51)</f>
        <v>330.8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1209.68</v>
      </c>
      <c r="H618" s="109">
        <f>SUM(H51)</f>
        <v>1209.68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42085.19</v>
      </c>
      <c r="H619" s="109">
        <f>SUM(I51)</f>
        <v>42085.19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156985.53999999998</v>
      </c>
      <c r="H620" s="109">
        <f>SUM(J51)</f>
        <v>156985.54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173961.96000000002</v>
      </c>
      <c r="H621" s="109">
        <f>F475</f>
        <v>173961.9600000002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72.319999999999993</v>
      </c>
      <c r="H622" s="109">
        <f>G475</f>
        <v>72.320000000000164</v>
      </c>
      <c r="I622" s="121" t="s">
        <v>102</v>
      </c>
      <c r="J622" s="109">
        <f t="shared" si="50"/>
        <v>-1.7053025658242404E-13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42085.19</v>
      </c>
      <c r="H624" s="109">
        <f>I475</f>
        <v>42085.19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156985.54</v>
      </c>
      <c r="H625" s="109">
        <f>J475</f>
        <v>156985.54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1930918.0899999999</v>
      </c>
      <c r="H626" s="104">
        <f>SUM(F467)</f>
        <v>1930918.09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1157.17</v>
      </c>
      <c r="H627" s="104">
        <f>SUM(G467)</f>
        <v>1157.17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10512.779999999999</v>
      </c>
      <c r="H628" s="104">
        <f>SUM(H467)</f>
        <v>10512.78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21.96</v>
      </c>
      <c r="H629" s="104">
        <f>SUM(I467)</f>
        <v>21.96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32106.67</v>
      </c>
      <c r="H630" s="104">
        <f>SUM(J467)</f>
        <v>32106.67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1899518.2400000002</v>
      </c>
      <c r="H631" s="104">
        <f>SUM(F471)</f>
        <v>1899518.24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10512.78</v>
      </c>
      <c r="H632" s="104">
        <f>SUM(H471)</f>
        <v>10512.78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534.85</v>
      </c>
      <c r="H633" s="104">
        <f>I368</f>
        <v>534.85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1084.8499999999999</v>
      </c>
      <c r="H634" s="104">
        <f>SUM(G471)</f>
        <v>1084.8499999999999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32106.67</v>
      </c>
      <c r="H636" s="164">
        <f>SUM(J467)</f>
        <v>32106.67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7826</v>
      </c>
      <c r="H637" s="164">
        <f>SUM(J471)</f>
        <v>7826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13876.25</v>
      </c>
      <c r="H638" s="104">
        <f>SUM(F460)</f>
        <v>13876.25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143109.28999999998</v>
      </c>
      <c r="H639" s="104">
        <f>SUM(G460)</f>
        <v>143109.29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156985.53999999998</v>
      </c>
      <c r="H641" s="104">
        <f>SUM(I460)</f>
        <v>156985.54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106.67</v>
      </c>
      <c r="H643" s="104">
        <f>H407</f>
        <v>106.67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32000</v>
      </c>
      <c r="H644" s="104">
        <f>G407</f>
        <v>32000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32106.67</v>
      </c>
      <c r="H645" s="104">
        <f>L407</f>
        <v>32106.67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49059.320000000007</v>
      </c>
      <c r="H646" s="104">
        <f>L207+L225+L243</f>
        <v>49059.32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37914.700000000004</v>
      </c>
      <c r="H647" s="104">
        <f>(J256+J337)-(J254+J335)</f>
        <v>37914.700000000004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49059.32</v>
      </c>
      <c r="H648" s="104">
        <f>H597</f>
        <v>49059.320000000007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32000</v>
      </c>
      <c r="H654" s="104">
        <f>K265+K346</f>
        <v>32000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1491962.8700000003</v>
      </c>
      <c r="G659" s="19">
        <f>(L228+L308+L358)</f>
        <v>0</v>
      </c>
      <c r="H659" s="19">
        <f>(L246+L327+L359)</f>
        <v>248943</v>
      </c>
      <c r="I659" s="19">
        <f>SUM(F659:H659)</f>
        <v>1740905.8700000003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924.21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924.21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49059.32</v>
      </c>
      <c r="G661" s="19">
        <f>(L225+L305)-(J225+J305)</f>
        <v>0</v>
      </c>
      <c r="H661" s="19">
        <f>(L243+L324)-(J243+J324)</f>
        <v>0</v>
      </c>
      <c r="I661" s="19">
        <f>SUM(F661:H661)</f>
        <v>49059.32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131709.47</v>
      </c>
      <c r="G662" s="199">
        <f>SUM(G574:G586)+SUM(I601:I603)+L611</f>
        <v>0</v>
      </c>
      <c r="H662" s="199">
        <f>SUM(H574:H586)+SUM(J601:J603)+L612</f>
        <v>248943</v>
      </c>
      <c r="I662" s="19">
        <f>SUM(F662:H662)</f>
        <v>380652.47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1310269.8700000003</v>
      </c>
      <c r="G663" s="19">
        <f>G659-SUM(G660:G662)</f>
        <v>0</v>
      </c>
      <c r="H663" s="19">
        <f>H659-SUM(H660:H662)</f>
        <v>0</v>
      </c>
      <c r="I663" s="19">
        <f>I659-SUM(I660:I662)</f>
        <v>1310269.8700000003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66.58</v>
      </c>
      <c r="G664" s="248"/>
      <c r="H664" s="248"/>
      <c r="I664" s="19">
        <f>SUM(F664:H664)</f>
        <v>66.58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19679.63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19679.63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19679.63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19679.63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SOUTH HAMPTON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454762.11</v>
      </c>
      <c r="C9" s="229">
        <f>'DOE25'!G196+'DOE25'!G214+'DOE25'!G232+'DOE25'!G275+'DOE25'!G294+'DOE25'!G313</f>
        <v>164768.91999999998</v>
      </c>
    </row>
    <row r="10" spans="1:3" x14ac:dyDescent="0.2">
      <c r="A10" t="s">
        <v>779</v>
      </c>
      <c r="B10" s="240">
        <v>423976.07</v>
      </c>
      <c r="C10" s="240">
        <v>162118.22</v>
      </c>
    </row>
    <row r="11" spans="1:3" x14ac:dyDescent="0.2">
      <c r="A11" t="s">
        <v>780</v>
      </c>
      <c r="B11" s="240">
        <v>20670.36</v>
      </c>
      <c r="C11" s="240">
        <v>1876.85</v>
      </c>
    </row>
    <row r="12" spans="1:3" x14ac:dyDescent="0.2">
      <c r="A12" t="s">
        <v>781</v>
      </c>
      <c r="B12" s="240">
        <f>9540.68+575</f>
        <v>10115.68</v>
      </c>
      <c r="C12" s="240">
        <f>43.99+729.86</f>
        <v>773.85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454762.11</v>
      </c>
      <c r="C13" s="231">
        <f>SUM(C10:C12)</f>
        <v>164768.92000000001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129833.45</v>
      </c>
      <c r="C18" s="229">
        <f>'DOE25'!G197+'DOE25'!G215+'DOE25'!G233+'DOE25'!G276+'DOE25'!G295+'DOE25'!G314</f>
        <v>54867.39</v>
      </c>
    </row>
    <row r="19" spans="1:3" x14ac:dyDescent="0.2">
      <c r="A19" t="s">
        <v>779</v>
      </c>
      <c r="B19" s="240">
        <v>26783.98</v>
      </c>
      <c r="C19" s="240">
        <v>14131.05</v>
      </c>
    </row>
    <row r="20" spans="1:3" x14ac:dyDescent="0.2">
      <c r="A20" t="s">
        <v>780</v>
      </c>
      <c r="B20" s="240">
        <f>28589.39+2184</f>
        <v>30773.39</v>
      </c>
      <c r="C20" s="240">
        <f>187.25+2364.34</f>
        <v>2551.59</v>
      </c>
    </row>
    <row r="21" spans="1:3" x14ac:dyDescent="0.2">
      <c r="A21" t="s">
        <v>781</v>
      </c>
      <c r="B21" s="240">
        <f>68361+3915.08</f>
        <v>72276.08</v>
      </c>
      <c r="C21" s="240">
        <f>37502.35+682.4</f>
        <v>38184.75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129833.45</v>
      </c>
      <c r="C22" s="231">
        <f>SUM(C19:C21)</f>
        <v>54867.39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6453</v>
      </c>
      <c r="C36" s="235">
        <f>'DOE25'!G199+'DOE25'!G217+'DOE25'!G235+'DOE25'!G278+'DOE25'!G297+'DOE25'!G316</f>
        <v>533.66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6453</v>
      </c>
      <c r="C39" s="240">
        <v>533.66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6453</v>
      </c>
      <c r="C40" s="231">
        <f>SUM(C37:C39)</f>
        <v>533.66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SOUTH HAMPTON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1239875.1500000001</v>
      </c>
      <c r="D5" s="20">
        <f>SUM('DOE25'!L196:L199)+SUM('DOE25'!L214:L217)+SUM('DOE25'!L232:L235)-F5-G5</f>
        <v>1239138.1500000001</v>
      </c>
      <c r="E5" s="243"/>
      <c r="F5" s="255">
        <f>SUM('DOE25'!J196:J199)+SUM('DOE25'!J214:J217)+SUM('DOE25'!J232:J235)</f>
        <v>340</v>
      </c>
      <c r="G5" s="53">
        <f>SUM('DOE25'!K196:K199)+SUM('DOE25'!K214:K217)+SUM('DOE25'!K232:K235)</f>
        <v>397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21619.239999999998</v>
      </c>
      <c r="D6" s="20">
        <f>'DOE25'!L201+'DOE25'!L219+'DOE25'!L237-F6-G6</f>
        <v>21404.239999999998</v>
      </c>
      <c r="E6" s="243"/>
      <c r="F6" s="255">
        <f>'DOE25'!J201+'DOE25'!J219+'DOE25'!J237</f>
        <v>215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78836.88</v>
      </c>
      <c r="D7" s="20">
        <f>'DOE25'!L202+'DOE25'!L220+'DOE25'!L238-F7-G7</f>
        <v>59533.460000000006</v>
      </c>
      <c r="E7" s="243"/>
      <c r="F7" s="255">
        <f>'DOE25'!J202+'DOE25'!J220+'DOE25'!J238</f>
        <v>19303.419999999998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25464.65</v>
      </c>
      <c r="D8" s="243"/>
      <c r="E8" s="20">
        <f>'DOE25'!L203+'DOE25'!L221+'DOE25'!L239-F8-G8-D9-D11</f>
        <v>22210.550000000003</v>
      </c>
      <c r="F8" s="255">
        <f>'DOE25'!J203+'DOE25'!J221+'DOE25'!J239</f>
        <v>0</v>
      </c>
      <c r="G8" s="53">
        <f>'DOE25'!K203+'DOE25'!K221+'DOE25'!K239</f>
        <v>3254.1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20096.349999999999</v>
      </c>
      <c r="D9" s="244">
        <v>20096.349999999999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8450</v>
      </c>
      <c r="D10" s="243"/>
      <c r="E10" s="244">
        <v>8450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11438.61</v>
      </c>
      <c r="D11" s="244">
        <v>11438.61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151136.06</v>
      </c>
      <c r="D12" s="20">
        <f>'DOE25'!L204+'DOE25'!L222+'DOE25'!L240-F12-G12</f>
        <v>150257.06</v>
      </c>
      <c r="E12" s="243"/>
      <c r="F12" s="255">
        <f>'DOE25'!J204+'DOE25'!J222+'DOE25'!J240</f>
        <v>0</v>
      </c>
      <c r="G12" s="53">
        <f>'DOE25'!K204+'DOE25'!K222+'DOE25'!K240</f>
        <v>879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130524.98</v>
      </c>
      <c r="D14" s="20">
        <f>'DOE25'!L206+'DOE25'!L224+'DOE25'!L242-F14-G14</f>
        <v>112549.48999999999</v>
      </c>
      <c r="E14" s="243"/>
      <c r="F14" s="255">
        <f>'DOE25'!J206+'DOE25'!J224+'DOE25'!J242</f>
        <v>17975.490000000002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49059.32</v>
      </c>
      <c r="D15" s="20">
        <f>'DOE25'!L207+'DOE25'!L225+'DOE25'!L243-F15-G15</f>
        <v>49059.32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1257</v>
      </c>
      <c r="D16" s="243"/>
      <c r="E16" s="20">
        <f>'DOE25'!L208+'DOE25'!L226+'DOE25'!L244-F16-G16</f>
        <v>1000</v>
      </c>
      <c r="F16" s="255">
        <f>'DOE25'!J208+'DOE25'!J226+'DOE25'!J244</f>
        <v>0</v>
      </c>
      <c r="G16" s="53">
        <f>'DOE25'!K208+'DOE25'!K226+'DOE25'!K244</f>
        <v>257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138210</v>
      </c>
      <c r="D25" s="243"/>
      <c r="E25" s="243"/>
      <c r="F25" s="258"/>
      <c r="G25" s="256"/>
      <c r="H25" s="257">
        <f>'DOE25'!L259+'DOE25'!L260+'DOE25'!L340+'DOE25'!L341</f>
        <v>138210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549.99999999999989</v>
      </c>
      <c r="D29" s="20">
        <f>'DOE25'!L357+'DOE25'!L358+'DOE25'!L359-'DOE25'!I366-F29-G29</f>
        <v>549.99999999999989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10512.78</v>
      </c>
      <c r="D31" s="20">
        <f>'DOE25'!L289+'DOE25'!L308+'DOE25'!L327+'DOE25'!L332+'DOE25'!L333+'DOE25'!L334-F31-G31</f>
        <v>10297.08</v>
      </c>
      <c r="E31" s="243"/>
      <c r="F31" s="255">
        <f>'DOE25'!J289+'DOE25'!J308+'DOE25'!J327+'DOE25'!J332+'DOE25'!J333+'DOE25'!J334</f>
        <v>80.790000000000006</v>
      </c>
      <c r="G31" s="53">
        <f>'DOE25'!K289+'DOE25'!K308+'DOE25'!K327+'DOE25'!K332+'DOE25'!K333+'DOE25'!K334</f>
        <v>134.91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1674323.7600000005</v>
      </c>
      <c r="E33" s="246">
        <f>SUM(E5:E31)</f>
        <v>31660.550000000003</v>
      </c>
      <c r="F33" s="246">
        <f>SUM(F5:F31)</f>
        <v>37914.700000000004</v>
      </c>
      <c r="G33" s="246">
        <f>SUM(G5:G31)</f>
        <v>4922.01</v>
      </c>
      <c r="H33" s="246">
        <f>SUM(H5:H31)</f>
        <v>138210</v>
      </c>
    </row>
    <row r="35" spans="2:8" ht="12" thickBot="1" x14ac:dyDescent="0.25">
      <c r="B35" s="253" t="s">
        <v>847</v>
      </c>
      <c r="D35" s="254">
        <f>E33</f>
        <v>31660.550000000003</v>
      </c>
      <c r="E35" s="249"/>
    </row>
    <row r="36" spans="2:8" ht="12" thickTop="1" x14ac:dyDescent="0.2">
      <c r="B36" t="s">
        <v>815</v>
      </c>
      <c r="D36" s="20">
        <f>D33</f>
        <v>1674323.7600000005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292725.62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29037.53</v>
      </c>
      <c r="D9" s="95">
        <f>'DOE25'!G10</f>
        <v>0</v>
      </c>
      <c r="E9" s="95">
        <f>'DOE25'!H10</f>
        <v>0</v>
      </c>
      <c r="F9" s="95">
        <f>'DOE25'!I10</f>
        <v>29688.47</v>
      </c>
      <c r="G9" s="95">
        <f>'DOE25'!J10</f>
        <v>156985.53999999998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1462.92</v>
      </c>
      <c r="D11" s="95">
        <f>'DOE25'!G12</f>
        <v>0</v>
      </c>
      <c r="E11" s="95">
        <f>'DOE25'!H12</f>
        <v>1209.68</v>
      </c>
      <c r="F11" s="95">
        <f>'DOE25'!I12</f>
        <v>12396.72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330.8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531.36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323757.43</v>
      </c>
      <c r="D18" s="41">
        <f>SUM(D8:D17)</f>
        <v>330.8</v>
      </c>
      <c r="E18" s="41">
        <f>SUM(E8:E17)</f>
        <v>1209.68</v>
      </c>
      <c r="F18" s="41">
        <f>SUM(F8:F17)</f>
        <v>42085.19</v>
      </c>
      <c r="G18" s="41">
        <f>SUM(G8:G17)</f>
        <v>156985.53999999998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253.24</v>
      </c>
      <c r="E21" s="95">
        <f>'DOE25'!H22</f>
        <v>1209.68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96959.67</v>
      </c>
      <c r="D23" s="95">
        <f>'DOE25'!G24</f>
        <v>5.24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3574.8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49261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149795.47</v>
      </c>
      <c r="D31" s="41">
        <f>SUM(D21:D30)</f>
        <v>258.48</v>
      </c>
      <c r="E31" s="41">
        <f>SUM(E21:E30)</f>
        <v>1209.68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72.319999999999993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569.02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42085.19</v>
      </c>
      <c r="G46" s="95">
        <f>'DOE25'!J47</f>
        <v>156985.54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10620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137772.94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173961.96000000002</v>
      </c>
      <c r="D49" s="41">
        <f>SUM(D34:D48)</f>
        <v>72.319999999999993</v>
      </c>
      <c r="E49" s="41">
        <f>SUM(E34:E48)</f>
        <v>0</v>
      </c>
      <c r="F49" s="41">
        <f>SUM(F34:F48)</f>
        <v>42085.19</v>
      </c>
      <c r="G49" s="41">
        <f>SUM(G34:G48)</f>
        <v>156985.54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323757.43000000005</v>
      </c>
      <c r="D50" s="41">
        <f>D49+D31</f>
        <v>330.8</v>
      </c>
      <c r="E50" s="41">
        <f>E49+E31</f>
        <v>1209.68</v>
      </c>
      <c r="F50" s="41">
        <f>F49+F31</f>
        <v>42085.19</v>
      </c>
      <c r="G50" s="41">
        <f>G49+G31</f>
        <v>156985.54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1372306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120.05</v>
      </c>
      <c r="D58" s="95">
        <f>'DOE25'!G95</f>
        <v>0</v>
      </c>
      <c r="E58" s="95">
        <f>'DOE25'!H95</f>
        <v>0</v>
      </c>
      <c r="F58" s="95">
        <f>'DOE25'!I95</f>
        <v>21.96</v>
      </c>
      <c r="G58" s="95">
        <f>'DOE25'!J95</f>
        <v>106.67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924.21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4122.37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4242.42</v>
      </c>
      <c r="D61" s="130">
        <f>SUM(D56:D60)</f>
        <v>924.21</v>
      </c>
      <c r="E61" s="130">
        <f>SUM(E56:E60)</f>
        <v>0</v>
      </c>
      <c r="F61" s="130">
        <f>SUM(F56:F60)</f>
        <v>21.96</v>
      </c>
      <c r="G61" s="130">
        <f>SUM(G56:G60)</f>
        <v>106.67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1376548.42</v>
      </c>
      <c r="D62" s="22">
        <f>D55+D61</f>
        <v>924.21</v>
      </c>
      <c r="E62" s="22">
        <f>E55+E61</f>
        <v>0</v>
      </c>
      <c r="F62" s="22">
        <f>F55+F61</f>
        <v>21.96</v>
      </c>
      <c r="G62" s="22">
        <f>G55+G61</f>
        <v>106.67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113956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342641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456597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41660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11972.7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44139.97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97772.67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554369.67000000004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232.96</v>
      </c>
      <c r="E87" s="95">
        <f>SUM('DOE25'!H152:H160)</f>
        <v>10512.779999999999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0</v>
      </c>
      <c r="D90" s="131">
        <f>SUM(D84:D89)</f>
        <v>232.96</v>
      </c>
      <c r="E90" s="131">
        <f>SUM(E84:E89)</f>
        <v>10512.779999999999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32000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32000</v>
      </c>
    </row>
    <row r="103" spans="1:7" ht="12.75" thickTop="1" thickBot="1" x14ac:dyDescent="0.25">
      <c r="A103" s="33" t="s">
        <v>765</v>
      </c>
      <c r="C103" s="86">
        <f>C62+C80+C90+C102</f>
        <v>1930918.0899999999</v>
      </c>
      <c r="D103" s="86">
        <f>D62+D80+D90+D102</f>
        <v>1157.17</v>
      </c>
      <c r="E103" s="86">
        <f>E62+E80+E90+E102</f>
        <v>10512.779999999999</v>
      </c>
      <c r="F103" s="86">
        <f>F62+F80+F90+F102</f>
        <v>21.96</v>
      </c>
      <c r="G103" s="86">
        <f>G62+G80+G102</f>
        <v>32106.67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884866.3</v>
      </c>
      <c r="D108" s="24" t="s">
        <v>289</v>
      </c>
      <c r="E108" s="95">
        <f>('DOE25'!L275)+('DOE25'!L294)+('DOE25'!L313)</f>
        <v>1263.99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345127.32</v>
      </c>
      <c r="D109" s="24" t="s">
        <v>289</v>
      </c>
      <c r="E109" s="95">
        <f>('DOE25'!L276)+('DOE25'!L295)+('DOE25'!L314)</f>
        <v>9113.880000000001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9881.5300000000007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1239875.1500000001</v>
      </c>
      <c r="D114" s="86">
        <f>SUM(D108:D113)</f>
        <v>0</v>
      </c>
      <c r="E114" s="86">
        <f>SUM(E108:E113)</f>
        <v>10377.870000000001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21619.239999999998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78836.88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56999.61</v>
      </c>
      <c r="D119" s="24" t="s">
        <v>289</v>
      </c>
      <c r="E119" s="95">
        <f>+('DOE25'!L282)+('DOE25'!L301)+('DOE25'!L320)</f>
        <v>134.91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151136.06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130524.98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49059.32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1257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1084.8499999999999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489433.08999999997</v>
      </c>
      <c r="D127" s="86">
        <f>SUM(D117:D126)</f>
        <v>1084.8499999999999</v>
      </c>
      <c r="E127" s="86">
        <f>SUM(E117:E126)</f>
        <v>134.91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115000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23210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4.26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32102.41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-106.66999999999825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170210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1899518.2400000002</v>
      </c>
      <c r="D144" s="86">
        <f>(D114+D127+D143)</f>
        <v>1084.8499999999999</v>
      </c>
      <c r="E144" s="86">
        <f>(E114+E127+E143)</f>
        <v>10512.78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August 2000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August 2015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1430000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138210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138210</v>
      </c>
    </row>
    <row r="158" spans="1:9" x14ac:dyDescent="0.2">
      <c r="A158" s="22" t="s">
        <v>35</v>
      </c>
      <c r="B158" s="137">
        <f>'DOE25'!F497</f>
        <v>385000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385000</v>
      </c>
    </row>
    <row r="159" spans="1:9" x14ac:dyDescent="0.2">
      <c r="A159" s="22" t="s">
        <v>36</v>
      </c>
      <c r="B159" s="137">
        <f>'DOE25'!F498</f>
        <v>31245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31245</v>
      </c>
    </row>
    <row r="160" spans="1:9" x14ac:dyDescent="0.2">
      <c r="A160" s="22" t="s">
        <v>37</v>
      </c>
      <c r="B160" s="137">
        <f>'DOE25'!F499</f>
        <v>416245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416245</v>
      </c>
    </row>
    <row r="161" spans="1:7" x14ac:dyDescent="0.2">
      <c r="A161" s="22" t="s">
        <v>38</v>
      </c>
      <c r="B161" s="137">
        <f>'DOE25'!F500</f>
        <v>120000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120000</v>
      </c>
    </row>
    <row r="162" spans="1:7" x14ac:dyDescent="0.2">
      <c r="A162" s="22" t="s">
        <v>39</v>
      </c>
      <c r="B162" s="137">
        <f>'DOE25'!F501</f>
        <v>17100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17100</v>
      </c>
    </row>
    <row r="163" spans="1:7" x14ac:dyDescent="0.2">
      <c r="A163" s="22" t="s">
        <v>246</v>
      </c>
      <c r="B163" s="137">
        <f>'DOE25'!F502</f>
        <v>137100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137100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SOUTH HAMPTON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19680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19680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886130</v>
      </c>
      <c r="D10" s="182">
        <f>ROUND((C10/$C$28)*100,1)</f>
        <v>50.3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354241</v>
      </c>
      <c r="D11" s="182">
        <f>ROUND((C11/$C$28)*100,1)</f>
        <v>20.100000000000001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9882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21619</v>
      </c>
      <c r="D15" s="182">
        <f t="shared" ref="D15:D27" si="0">ROUND((C15/$C$28)*100,1)</f>
        <v>1.2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78837</v>
      </c>
      <c r="D16" s="182">
        <f t="shared" si="0"/>
        <v>4.5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58392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151136</v>
      </c>
      <c r="D18" s="182">
        <f t="shared" si="0"/>
        <v>8.6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130525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49059</v>
      </c>
      <c r="D21" s="182">
        <f t="shared" si="0"/>
        <v>2.8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23210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160.78999999999996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1763191.79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1763191.79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115000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1372306</v>
      </c>
      <c r="D35" s="182">
        <f t="shared" ref="D35:D40" si="1">ROUND((C35/$C$41)*100,1)</f>
        <v>70.7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4371.0499999998137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456597</v>
      </c>
      <c r="D37" s="182">
        <f t="shared" si="1"/>
        <v>23.5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97773</v>
      </c>
      <c r="D38" s="182">
        <f t="shared" si="1"/>
        <v>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10746</v>
      </c>
      <c r="D39" s="182">
        <f t="shared" si="1"/>
        <v>0.6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1941793.0499999998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SOUTH HAMPTON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2013-08-22T20:32:58Z</cp:lastPrinted>
  <dcterms:created xsi:type="dcterms:W3CDTF">1997-12-04T19:04:30Z</dcterms:created>
  <dcterms:modified xsi:type="dcterms:W3CDTF">2013-08-28T17:16:32Z</dcterms:modified>
</cp:coreProperties>
</file>