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196" i="1" l="1"/>
  <c r="F29" i="1"/>
  <c r="G610" i="1"/>
  <c r="F610" i="1"/>
  <c r="B20" i="12"/>
  <c r="B19" i="12"/>
  <c r="B37" i="12"/>
  <c r="B12" i="12"/>
  <c r="B11" i="12"/>
  <c r="B10" i="12"/>
  <c r="H532" i="1"/>
  <c r="H530" i="1"/>
  <c r="H525" i="1"/>
  <c r="G501" i="1"/>
  <c r="F501" i="1"/>
  <c r="J471" i="1"/>
  <c r="G438" i="1"/>
  <c r="G467" i="1"/>
  <c r="J464" i="1"/>
  <c r="H574" i="1" l="1"/>
  <c r="F574" i="1"/>
  <c r="H527" i="1"/>
  <c r="H522" i="1"/>
  <c r="H540" i="1"/>
  <c r="I525" i="1"/>
  <c r="G525" i="1"/>
  <c r="F525" i="1"/>
  <c r="J520" i="1"/>
  <c r="I520" i="1"/>
  <c r="H520" i="1"/>
  <c r="G520" i="1"/>
  <c r="F520" i="1"/>
  <c r="I357" i="1"/>
  <c r="I280" i="1"/>
  <c r="G280" i="1"/>
  <c r="F280" i="1"/>
  <c r="G286" i="1"/>
  <c r="F286" i="1"/>
  <c r="H281" i="1"/>
  <c r="G281" i="1"/>
  <c r="F281" i="1"/>
  <c r="I281" i="1"/>
  <c r="G278" i="1"/>
  <c r="F278" i="1"/>
  <c r="G276" i="1"/>
  <c r="K276" i="1"/>
  <c r="J276" i="1"/>
  <c r="F276" i="1"/>
  <c r="I275" i="1"/>
  <c r="I207" i="1"/>
  <c r="H207" i="1"/>
  <c r="G207" i="1"/>
  <c r="F207" i="1"/>
  <c r="K207" i="1"/>
  <c r="J207" i="1"/>
  <c r="I206" i="1"/>
  <c r="H206" i="1"/>
  <c r="G206" i="1"/>
  <c r="F206" i="1"/>
  <c r="H204" i="1"/>
  <c r="K204" i="1"/>
  <c r="J204" i="1"/>
  <c r="I204" i="1"/>
  <c r="G204" i="1"/>
  <c r="F204" i="1"/>
  <c r="H203" i="1"/>
  <c r="I203" i="1"/>
  <c r="G203" i="1"/>
  <c r="F203" i="1"/>
  <c r="J202" i="1"/>
  <c r="I202" i="1"/>
  <c r="G202" i="1"/>
  <c r="F202" i="1"/>
  <c r="K202" i="1"/>
  <c r="H202" i="1"/>
  <c r="J201" i="1"/>
  <c r="I201" i="1"/>
  <c r="H201" i="1"/>
  <c r="K201" i="1"/>
  <c r="G201" i="1"/>
  <c r="F201" i="1"/>
  <c r="I197" i="1"/>
  <c r="H197" i="1"/>
  <c r="G197" i="1"/>
  <c r="F197" i="1"/>
  <c r="J196" i="1"/>
  <c r="I196" i="1"/>
  <c r="H196" i="1"/>
  <c r="F196" i="1"/>
  <c r="I243" i="1"/>
  <c r="H243" i="1"/>
  <c r="G243" i="1"/>
  <c r="F243" i="1"/>
  <c r="J243" i="1"/>
  <c r="H239" i="1"/>
  <c r="K239" i="1"/>
  <c r="I239" i="1"/>
  <c r="G239" i="1"/>
  <c r="H237" i="1"/>
  <c r="H233" i="1"/>
  <c r="H232" i="1"/>
  <c r="J95" i="1"/>
  <c r="H154" i="1"/>
  <c r="H153" i="1"/>
  <c r="H22" i="1"/>
  <c r="G47" i="1" l="1"/>
  <c r="F9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40" i="1"/>
  <c r="H640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I551" i="1"/>
  <c r="K548" i="1"/>
  <c r="K549" i="1"/>
  <c r="G22" i="2"/>
  <c r="K597" i="1"/>
  <c r="G646" i="1" s="1"/>
  <c r="J646" i="1" s="1"/>
  <c r="K544" i="1"/>
  <c r="J551" i="1"/>
  <c r="H551" i="1"/>
  <c r="C29" i="10"/>
  <c r="H139" i="1"/>
  <c r="L400" i="1"/>
  <c r="C138" i="2" s="1"/>
  <c r="L392" i="1"/>
  <c r="A13" i="12"/>
  <c r="F22" i="13"/>
  <c r="H25" i="13"/>
  <c r="C25" i="13" s="1"/>
  <c r="J650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D5" i="13"/>
  <c r="C5" i="13" s="1"/>
  <c r="E16" i="13"/>
  <c r="E33" i="13" s="1"/>
  <c r="D35" i="13" s="1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H33" i="13"/>
  <c r="F660" i="1" l="1"/>
  <c r="F663" i="1" s="1"/>
  <c r="F671" i="1" s="1"/>
  <c r="C4" i="10" s="1"/>
  <c r="J648" i="1"/>
  <c r="E144" i="2"/>
  <c r="C127" i="2"/>
  <c r="L336" i="1"/>
  <c r="C23" i="10"/>
  <c r="J639" i="1"/>
  <c r="I660" i="1"/>
  <c r="H663" i="1"/>
  <c r="H666" i="1" s="1"/>
  <c r="L337" i="1"/>
  <c r="L351" i="1" s="1"/>
  <c r="G632" i="1" s="1"/>
  <c r="J632" i="1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71" i="1"/>
  <c r="C5" i="10" s="1"/>
  <c r="G42" i="2"/>
  <c r="G49" i="2" s="1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G50" i="2" l="1"/>
  <c r="H671" i="1"/>
  <c r="C6" i="10" s="1"/>
  <c r="C144" i="2"/>
  <c r="F666" i="1"/>
  <c r="H645" i="1"/>
  <c r="D31" i="13"/>
  <c r="C31" i="13" s="1"/>
  <c r="G630" i="1"/>
  <c r="J630" i="1" s="1"/>
  <c r="I663" i="1"/>
  <c r="I671" i="1" s="1"/>
  <c r="C7" i="10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 l="1"/>
  <c r="D36" i="13" s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<sst xmlns="http://schemas.openxmlformats.org/spreadsheetml/2006/main" count="3949" uniqueCount="912">
  <si>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</si>
  <si>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</si>
  <si>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</si>
  <si>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</si>
  <si>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</si>
  <si>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</si>
  <si>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</si>
  <si>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</si>
  <si>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</si>
  <si>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</si>
  <si>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</si>
  <si>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</si>
  <si>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</si>
  <si>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</si>
  <si>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</si>
  <si>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</si>
  <si>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</si>
  <si>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</si>
  <si>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</si>
  <si>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</si>
  <si>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</si>
  <si>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</si>
  <si>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</si>
  <si>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</si>
  <si>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</si>
  <si>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</si>
  <si>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</si>
  <si>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</si>
  <si>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</si>
  <si>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</si>
  <si>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</si>
  <si>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</si>
  <si>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</si>
  <si>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</si>
  <si>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</si>
  <si>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</si>
  <si>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</si>
  <si>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</si>
  <si>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</si>
  <si>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</si>
  <si>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</si>
  <si>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</si>
  <si>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</si>
  <si>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</si>
  <si>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</si>
  <si>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</si>
  <si>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</si>
  <si>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</si>
  <si>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</si>
  <si>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</si>
  <si>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</si>
  <si>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</si>
  <si>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</si>
  <si>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</si>
  <si>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</si>
  <si>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</si>
  <si>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</si>
  <si>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</si>
  <si>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</si>
  <si>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</si>
  <si>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</si>
  <si>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</si>
  <si>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</si>
  <si>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</si>
  <si>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</si>
  <si>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</si>
  <si>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</si>
  <si>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</si>
  <si>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</si>
  <si>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</si>
  <si>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</si>
  <si>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</si>
  <si>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</si>
  <si>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</si>
  <si>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</si>
  <si>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</si>
  <si>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</si>
  <si>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</si>
  <si>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</si>
  <si>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</si>
  <si>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</si>
  <si>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</si>
  <si>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</si>
  <si>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</si>
  <si>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</si>
  <si>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</si>
  <si>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</si>
  <si>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</si>
  <si>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</si>
  <si>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</si>
  <si>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</si>
  <si>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</si>
  <si>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</si>
  <si>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</si>
  <si>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</si>
  <si>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</si>
  <si>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</si>
  <si>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</si>
  <si>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</si>
  <si>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</si>
  <si>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</si>
  <si>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</si>
  <si>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</si>
  <si>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</si>
  <si>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</si>
  <si>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</si>
  <si>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</si>
  <si>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</si>
  <si>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</si>
  <si>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</si>
  <si>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</si>
  <si>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</si>
  <si>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</si>
  <si>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</si>
  <si>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</si>
  <si>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</si>
  <si>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</si>
  <si>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</si>
  <si>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</si>
  <si>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</si>
  <si>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</si>
  <si>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</si>
  <si>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</si>
  <si>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</si>
  <si>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</si>
  <si>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</si>
  <si>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</si>
  <si>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</si>
  <si>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</si>
  <si>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</si>
  <si>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</si>
  <si>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</si>
  <si>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</si>
  <si>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</si>
  <si>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</si>
  <si>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</si>
  <si>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</si>
  <si>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</si>
  <si>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</si>
  <si>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</si>
  <si>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</si>
  <si>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</si>
  <si>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</si>
  <si>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</si>
  <si>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</si>
  <si>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</si>
  <si>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</si>
  <si>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</si>
  <si>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</si>
  <si>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</si>
  <si>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</si>
  <si>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</si>
  <si>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</si>
  <si>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</si>
  <si>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</si>
  <si>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</si>
  <si>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</si>
  <si>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</si>
  <si>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</si>
  <si>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</si>
  <si>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</si>
  <si>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</si>
  <si>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</si>
  <si>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</si>
  <si>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</si>
  <si>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</si>
  <si>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</si>
  <si>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</si>
  <si>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</si>
  <si>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</si>
  <si>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</si>
  <si>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</si>
  <si>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</si>
  <si>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</si>
  <si>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</si>
  <si>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</si>
  <si>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</si>
  <si>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</si>
  <si>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</si>
  <si>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</si>
  <si>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</si>
  <si>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</si>
  <si>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</si>
  <si>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</si>
  <si>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</si>
  <si>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</si>
  <si>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</si>
  <si>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</si>
  <si>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</si>
  <si>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</si>
  <si>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</si>
  <si>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</si>
  <si>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</si>
  <si>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</si>
  <si>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</si>
  <si>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</si>
  <si>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</si>
  <si>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</si>
  <si>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</si>
  <si>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</si>
  <si>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</si>
  <si>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</si>
  <si>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</si>
  <si>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</si>
  <si>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</si>
  <si>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</si>
  <si>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</si>
  <si>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</si>
  <si>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</si>
  <si>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</si>
  <si>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</si>
  <si>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</si>
  <si>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</si>
  <si>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</si>
  <si>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</si>
  <si>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</si>
  <si>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</si>
  <si>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</si>
  <si>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</si>
  <si>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</si>
  <si>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</si>
  <si>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</si>
  <si>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</si>
  <si>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</si>
  <si>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</si>
  <si>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</si>
  <si>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</si>
  <si>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</si>
  <si>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</si>
  <si>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</si>
  <si>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</si>
  <si>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</si>
  <si>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</si>
  <si>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</si>
  <si>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</si>
  <si>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</si>
  <si>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</si>
  <si>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</si>
  <si>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</si>
  <si>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</si>
  <si>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</si>
  <si>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</si>
  <si>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</si>
  <si>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</si>
  <si>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</si>
  <si>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</si>
  <si>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</si>
  <si>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</si>
  <si>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</si>
  <si>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</si>
  <si>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</si>
  <si>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</si>
  <si>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</si>
  <si>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</si>
  <si>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</si>
  <si>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</si>
  <si>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</si>
  <si>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</si>
  <si>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</si>
  <si>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</si>
  <si>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</si>
  <si>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</si>
  <si>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</si>
  <si>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</si>
  <si>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</si>
  <si>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</si>
  <si>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</si>
  <si>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</si>
  <si>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</si>
  <si>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</si>
  <si>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</si>
  <si>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</si>
  <si>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</si>
  <si>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</si>
  <si>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</si>
  <si>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</si>
  <si>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</si>
  <si>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</si>
  <si>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</si>
  <si>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</si>
  <si>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</si>
  <si>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</si>
  <si>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</si>
  <si>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</si>
  <si>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</si>
  <si>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</si>
  <si>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</si>
  <si>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</si>
  <si>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</si>
  <si>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</si>
  <si>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</si>
  <si>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</si>
  <si>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</si>
  <si>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</si>
  <si>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</si>
  <si>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</si>
  <si>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</si>
  <si>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</si>
  <si>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</si>
  <si>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</si>
  <si>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</si>
  <si>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</si>
  <si>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</si>
  <si>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</si>
  <si>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</si>
  <si>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</si>
  <si>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</si>
  <si>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</si>
  <si>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</si>
  <si>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</si>
  <si>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</si>
  <si>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</si>
  <si>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</si>
  <si>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</si>
  <si>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</si>
  <si>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</si>
  <si>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</si>
  <si>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</si>
  <si>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</si>
  <si>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</si>
  <si>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</si>
  <si>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</si>
  <si>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</si>
  <si>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</si>
  <si>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</si>
  <si>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</si>
  <si>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</si>
  <si>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</si>
  <si>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</si>
  <si>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</si>
  <si>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</si>
  <si>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</si>
  <si>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</si>
  <si>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</si>
  <si>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</si>
  <si>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</si>
  <si>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</si>
  <si>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</si>
  <si>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</si>
  <si>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</si>
  <si>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</si>
  <si>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</si>
  <si>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</si>
  <si>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</si>
  <si>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</si>
  <si>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</si>
  <si>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</si>
  <si>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</si>
  <si>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</si>
  <si>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</si>
  <si>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</si>
  <si>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</si>
  <si>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</si>
  <si>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</si>
  <si>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</si>
  <si>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</si>
  <si>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</si>
  <si>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</si>
  <si>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</si>
  <si>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</si>
  <si>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</si>
  <si>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</si>
  <si>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</si>
  <si>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</si>
  <si>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</si>
  <si>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</si>
  <si>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</si>
  <si>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</si>
  <si>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</si>
  <si>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</si>
  <si>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</si>
  <si>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</si>
  <si>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</si>
  <si>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</si>
  <si>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</si>
  <si>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</si>
  <si>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</si>
  <si>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</si>
  <si>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</si>
  <si>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</si>
  <si>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</si>
  <si>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</si>
  <si>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</si>
  <si>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</si>
  <si>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</si>
  <si>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</si>
  <si>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</si>
  <si>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</si>
  <si>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</si>
  <si>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</si>
  <si>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</si>
  <si>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</si>
  <si>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</si>
  <si>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</si>
  <si>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</si>
  <si>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</si>
  <si>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</si>
  <si>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</si>
  <si>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</si>
  <si>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</si>
  <si>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</si>
  <si>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</si>
  <si>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</si>
  <si>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</si>
  <si>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</si>
  <si>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</si>
  <si>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</si>
  <si>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</si>
  <si>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</si>
  <si>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</si>
  <si>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</si>
  <si>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</si>
  <si>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</si>
  <si>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</si>
  <si>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</si>
  <si>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</si>
  <si>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</si>
  <si>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</si>
  <si>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</si>
  <si>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</si>
  <si>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</si>
  <si>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</si>
  <si>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</si>
  <si>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</si>
  <si>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</si>
  <si>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</si>
  <si>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</si>
  <si>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</si>
  <si>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</si>
  <si>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</si>
  <si>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</si>
  <si>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</si>
  <si>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</si>
  <si>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</si>
  <si>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</si>
  <si>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</si>
  <si>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</si>
  <si>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</si>
  <si>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</si>
  <si>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</si>
  <si>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</si>
  <si>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</si>
  <si>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</si>
  <si>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</si>
  <si>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</si>
  <si>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</si>
  <si>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</si>
  <si>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</si>
  <si>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</si>
  <si>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</si>
  <si>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</si>
  <si>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</si>
  <si>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</si>
  <si>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</si>
  <si>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</si>
  <si>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</si>
  <si>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</si>
  <si>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</si>
  <si>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</si>
  <si>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</si>
  <si>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</si>
  <si>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</si>
  <si>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</si>
  <si>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</si>
  <si>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</si>
  <si>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</si>
  <si>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</si>
  <si>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</si>
  <si>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</si>
  <si>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</si>
  <si>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</si>
  <si>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</si>
  <si>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</si>
  <si>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</si>
  <si>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</si>
  <si>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</si>
  <si>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</si>
  <si>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</si>
  <si>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</si>
  <si>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</si>
  <si>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</si>
  <si>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</si>
  <si>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</si>
  <si>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</si>
  <si>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</si>
  <si>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</si>
  <si>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</si>
  <si>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</si>
  <si>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</si>
  <si>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</si>
  <si>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</si>
  <si>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</si>
  <si>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</si>
  <si>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</si>
  <si>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</si>
  <si>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</si>
  <si>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</si>
  <si>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</si>
  <si>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</si>
  <si>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</si>
  <si>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</si>
  <si>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</si>
  <si>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</si>
  <si>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</si>
  <si>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</si>
  <si>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</si>
  <si>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</si>
  <si>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</si>
  <si>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</si>
  <si>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</si>
  <si>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</si>
  <si>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</si>
  <si>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</si>
  <si>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</si>
  <si>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</si>
  <si>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</si>
  <si>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</si>
  <si>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</si>
  <si>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</si>
  <si>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</si>
  <si>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</si>
  <si>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</si>
  <si>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</si>
  <si>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</si>
  <si>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</si>
  <si>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</si>
  <si>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</si>
  <si>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</si>
  <si>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</si>
  <si>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</si>
  <si>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</si>
  <si>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</si>
  <si>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</si>
  <si>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</si>
  <si>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</si>
  <si>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</si>
  <si>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</si>
  <si>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</si>
  <si>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</si>
  <si>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</si>
  <si>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</si>
  <si>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</si>
  <si>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</si>
  <si>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</si>
  <si>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</si>
  <si>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</si>
  <si>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</si>
  <si>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</si>
  <si>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</si>
  <si>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</si>
  <si>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</si>
  <si>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</si>
  <si>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</si>
  <si>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</si>
  <si>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</si>
  <si>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</si>
  <si>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</si>
  <si>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</si>
  <si>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</si>
  <si>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</si>
  <si>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</si>
  <si>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</si>
  <si>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</si>
  <si>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</si>
  <si>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</si>
  <si>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</si>
  <si>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</si>
  <si>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</si>
  <si>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</si>
  <si>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</si>
  <si>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</si>
  <si>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</si>
  <si>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</si>
  <si>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</si>
  <si>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</si>
  <si>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</si>
  <si>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</si>
  <si>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</si>
  <si>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</si>
  <si>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</si>
  <si>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</si>
  <si>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</si>
  <si>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</si>
  <si>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</si>
  <si>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</si>
  <si>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</si>
  <si>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</si>
  <si>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</si>
  <si>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</si>
  <si>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</si>
  <si>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</si>
  <si>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</si>
  <si>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</si>
  <si>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</si>
  <si>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</si>
  <si>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</si>
  <si>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</si>
  <si>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</si>
  <si>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</si>
  <si>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</si>
  <si>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</si>
  <si>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</si>
  <si>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</si>
  <si>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</si>
  <si>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</si>
  <si>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</si>
  <si>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</si>
  <si>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</si>
  <si>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</si>
  <si>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</si>
  <si>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</si>
  <si>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</si>
  <si>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</si>
  <si>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</si>
  <si>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</si>
  <si>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</si>
  <si>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</si>
  <si>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</si>
  <si>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</si>
  <si>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</si>
  <si>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</si>
  <si>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</si>
  <si>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</si>
  <si>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</si>
  <si>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</si>
  <si>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</si>
  <si>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</si>
  <si>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</si>
  <si>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</si>
  <si>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</si>
  <si>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</si>
  <si>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</si>
  <si>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</si>
  <si>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</si>
  <si>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</si>
  <si>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</si>
  <si>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</si>
  <si>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</si>
  <si>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</si>
  <si>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</si>
  <si>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</si>
  <si>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</si>
  <si>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</si>
  <si>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</si>
  <si>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</si>
  <si>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</si>
  <si>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</si>
  <si>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</si>
  <si>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</si>
  <si>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</si>
  <si>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</si>
  <si>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</si>
  <si>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</si>
  <si>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</si>
  <si>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</si>
  <si>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</si>
  <si>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</si>
  <si>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</si>
  <si>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</si>
  <si>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</si>
  <si>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</si>
  <si>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</si>
  <si>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</si>
  <si>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</si>
  <si>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</si>
  <si>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</si>
  <si>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</si>
  <si>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</si>
  <si>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</si>
  <si>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</si>
  <si>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</si>
  <si>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</si>
  <si>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</si>
  <si>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</si>
  <si>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</si>
  <si>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</si>
  <si>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</si>
  <si>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</si>
  <si>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</si>
  <si>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</si>
  <si>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</si>
  <si>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</si>
  <si>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</si>
  <si>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</si>
  <si>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</si>
  <si>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</si>
  <si>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</si>
  <si>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</si>
  <si>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</si>
  <si>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</si>
  <si>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</si>
  <si>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</si>
  <si>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</si>
  <si>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</si>
  <si>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</si>
  <si>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</si>
  <si>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</si>
  <si>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</si>
  <si>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</si>
  <si>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</si>
  <si>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</si>
  <si>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</si>
  <si>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</si>
  <si>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</si>
  <si>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</si>
  <si>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</si>
  <si>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</si>
  <si>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</si>
  <si>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</si>
  <si>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</si>
  <si>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</si>
  <si>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</si>
  <si>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</si>
  <si>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</si>
  <si>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</si>
  <si>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</si>
  <si>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</si>
  <si>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</si>
  <si>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</si>
  <si>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</si>
  <si>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</si>
  <si>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</si>
  <si>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</si>
  <si>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</si>
  <si>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</si>
  <si>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</si>
  <si>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</si>
  <si>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</si>
  <si>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</si>
  <si>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</si>
  <si>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</si>
  <si>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</si>
  <si>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</si>
  <si>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</si>
  <si>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</si>
  <si>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</si>
  <si>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</si>
  <si>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</si>
  <si>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</si>
  <si>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</si>
  <si>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</si>
  <si>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</si>
  <si>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</si>
  <si>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</si>
  <si>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</si>
  <si>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</si>
  <si>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</si>
  <si>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</si>
  <si>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</si>
  <si>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</si>
  <si>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</si>
  <si>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</si>
  <si>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</si>
  <si>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</si>
  <si>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</si>
  <si>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</si>
  <si>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</si>
  <si>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</si>
  <si>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</si>
  <si>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</si>
  <si>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</si>
  <si>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</si>
  <si>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</si>
  <si>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</si>
  <si>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</si>
  <si>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</si>
  <si>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</si>
  <si>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</si>
  <si>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</si>
  <si>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</si>
  <si>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</si>
  <si>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</si>
  <si>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</si>
  <si>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</si>
  <si>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</si>
  <si>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</si>
  <si>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</si>
  <si>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</si>
  <si>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</si>
  <si>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</si>
  <si>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</si>
  <si>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</si>
  <si>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</si>
  <si>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</si>
  <si>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</si>
  <si>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</si>
  <si>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</si>
  <si>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</si>
  <si>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</si>
  <si>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</si>
  <si>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</si>
  <si>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</si>
  <si>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</si>
  <si>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</si>
  <si>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</si>
  <si>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</si>
  <si>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</si>
  <si>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</si>
  <si>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</si>
  <si>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</si>
  <si>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</si>
  <si>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</si>
  <si>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</si>
  <si>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</si>
  <si>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</si>
  <si>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</si>
  <si>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</si>
  <si>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</si>
  <si>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</si>
  <si>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</si>
  <si>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</si>
  <si>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</si>
  <si>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</si>
  <si>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</si>
  <si>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</si>
  <si>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</si>
  <si>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</si>
  <si>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</si>
  <si>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</si>
  <si>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</si>
  <si>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</si>
  <si>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</si>
  <si>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</si>
  <si>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</si>
  <si>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</si>
  <si>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</si>
  <si>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</si>
  <si>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</si>
  <si>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</si>
  <si>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</si>
  <si>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</si>
  <si>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</si>
  <si>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</si>
  <si>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</si>
  <si>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</si>
  <si>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</si>
  <si>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</si>
  <si>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</si>
  <si>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</si>
  <si>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</si>
  <si>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</si>
  <si>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</si>
  <si>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</si>
  <si>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</si>
  <si>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</si>
  <si>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</si>
  <si>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</si>
  <si>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</si>
  <si>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</si>
  <si>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</si>
  <si>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</si>
  <si>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</si>
  <si>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</si>
  <si>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</si>
  <si>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</si>
  <si>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</si>
  <si>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</si>
  <si>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</si>
  <si>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</si>
  <si>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</si>
  <si>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</si>
  <si>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</si>
  <si>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</si>
  <si>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</si>
  <si>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</si>
  <si>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</si>
  <si>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</si>
  <si>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</si>
  <si>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</si>
  <si>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</si>
  <si>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</si>
  <si>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</si>
  <si>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</si>
  <si>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</si>
  <si>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</si>
  <si>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</si>
  <si>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</si>
  <si>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</si>
  <si>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</si>
  <si>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</si>
  <si>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</si>
  <si>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</si>
  <si>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</si>
  <si>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</si>
  <si>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</si>
  <si>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</si>
  <si>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</si>
  <si>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</si>
  <si>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</si>
  <si>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</si>
  <si>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</si>
  <si>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</si>
  <si>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</si>
  <si>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</si>
  <si>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</si>
  <si>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</si>
  <si>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</si>
  <si>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</si>
  <si>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</si>
  <si>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</si>
  <si>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</si>
  <si>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</si>
  <si>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</si>
  <si>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</si>
  <si>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</si>
  <si>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</si>
  <si>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</si>
  <si>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</si>
  <si>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</si>
  <si>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Stewartstown School District</t>
  </si>
  <si>
    <t>8/1997</t>
  </si>
  <si>
    <t>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</si>
</sst>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501</v>
      </c>
      <c r="C2" s="21">
        <v>501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169358.45+2016.4</f>
        <v>171374.85</v>
      </c>
      <c r="G9" s="18">
        <v>1995.32</v>
      </c>
      <c r="H9" s="18"/>
      <c r="I9" s="18"/>
      <c r="J9" s="67">
        <f>SUM(I438)</f>
        <v>164474.67000000001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60583.59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2532.6</v>
      </c>
      <c r="G13" s="18">
        <v>6411.92</v>
      </c>
      <c r="H13" s="18">
        <v>63139.16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2728.96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234491.04</v>
      </c>
      <c r="G19" s="41">
        <f>SUM(G9:G18)</f>
        <v>11136.2</v>
      </c>
      <c r="H19" s="41">
        <f>SUM(H9:H18)</f>
        <v>63139.16</v>
      </c>
      <c r="I19" s="41">
        <f>SUM(I9:I18)</f>
        <v>0</v>
      </c>
      <c r="J19" s="41">
        <f>SUM(J9:J18)</f>
        <v>164474.67000000001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278.7</v>
      </c>
      <c r="H22" s="18">
        <f>63417.86-2834.27-278.7</f>
        <v>60304.890000000007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 t="s">
        <v>287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30635.97</v>
      </c>
      <c r="G24" s="18">
        <v>375.56</v>
      </c>
      <c r="H24" s="18"/>
      <c r="I24" s="18"/>
      <c r="J24" s="67">
        <f>SUM(I449)</f>
        <v>50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3642.95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289.53+712.9+579.14+10.2+168.7</f>
        <v>1760.47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2834.27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36039.39</v>
      </c>
      <c r="G32" s="41">
        <f>SUM(G22:G31)</f>
        <v>654.26</v>
      </c>
      <c r="H32" s="41">
        <f>SUM(H22:H31)</f>
        <v>63139.16</v>
      </c>
      <c r="I32" s="41">
        <f>SUM(I22:I31)</f>
        <v>0</v>
      </c>
      <c r="J32" s="41">
        <f>SUM(J22:J31)</f>
        <v>50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2728.96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9056.39+48991.49-50294.9</f>
        <v>7752.9799999999959</v>
      </c>
      <c r="H47" s="18"/>
      <c r="I47" s="18"/>
      <c r="J47" s="13">
        <f>SUM(I458)</f>
        <v>164424.67000000001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198451.65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198451.65</v>
      </c>
      <c r="G50" s="41">
        <f>SUM(G35:G49)</f>
        <v>10481.939999999995</v>
      </c>
      <c r="H50" s="41">
        <f>SUM(H35:H49)</f>
        <v>0</v>
      </c>
      <c r="I50" s="41">
        <f>SUM(I35:I49)</f>
        <v>0</v>
      </c>
      <c r="J50" s="41">
        <f>SUM(J35:J49)</f>
        <v>164424.67000000001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234491.03999999998</v>
      </c>
      <c r="G51" s="41">
        <f>G50+G32</f>
        <v>11136.199999999995</v>
      </c>
      <c r="H51" s="41">
        <f>H50+H32</f>
        <v>63139.16</v>
      </c>
      <c r="I51" s="41">
        <f>I50+I32</f>
        <v>0</v>
      </c>
      <c r="J51" s="41">
        <f>J50+J32</f>
        <v>164474.67000000001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1215541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1215541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158.32</v>
      </c>
      <c r="G95" s="18"/>
      <c r="H95" s="18"/>
      <c r="I95" s="18"/>
      <c r="J95" s="18">
        <f>5.71+2.59+32.28+252.16</f>
        <v>292.74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12878.72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27589.98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6791.33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50</v>
      </c>
      <c r="G109" s="18"/>
      <c r="H109" s="18">
        <v>2051.5</v>
      </c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34589.629999999997</v>
      </c>
      <c r="G110" s="41">
        <f>SUM(G95:G109)</f>
        <v>12878.72</v>
      </c>
      <c r="H110" s="41">
        <f>SUM(H95:H109)</f>
        <v>2051.5</v>
      </c>
      <c r="I110" s="41">
        <f>SUM(I95:I109)</f>
        <v>0</v>
      </c>
      <c r="J110" s="41">
        <f>SUM(J95:J109)</f>
        <v>292.74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1250130.6299999999</v>
      </c>
      <c r="G111" s="41">
        <f>G59+G110</f>
        <v>12878.72</v>
      </c>
      <c r="H111" s="41">
        <f>H59+H78+H93+H110</f>
        <v>2051.5</v>
      </c>
      <c r="I111" s="41">
        <f>I59+I110</f>
        <v>0</v>
      </c>
      <c r="J111" s="41">
        <f>J59+J110</f>
        <v>292.74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550121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199577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749698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14086.25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46607.42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261.14999999999998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60693.67</v>
      </c>
      <c r="G135" s="41">
        <f>SUM(G122:G134)</f>
        <v>261.14999999999998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810391.67</v>
      </c>
      <c r="G139" s="41">
        <f>G120+SUM(G135:G136)</f>
        <v>261.14999999999998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16428.92+153369.82</f>
        <v>169798.74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500+22609.38+4255.09+535.28</f>
        <v>27899.75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35851.620000000003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4228.82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3920.15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4228.82</v>
      </c>
      <c r="G161" s="41">
        <f>SUM(G149:G160)</f>
        <v>35851.620000000003</v>
      </c>
      <c r="H161" s="41">
        <f>SUM(H149:H160)</f>
        <v>201618.63999999998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4228.82</v>
      </c>
      <c r="G168" s="41">
        <f>G146+G161+SUM(G162:G167)</f>
        <v>35851.620000000003</v>
      </c>
      <c r="H168" s="41">
        <f>H146+H161+SUM(H162:H167)</f>
        <v>201618.63999999998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9000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9000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69995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69995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69995</v>
      </c>
      <c r="G191" s="41">
        <f>G182+SUM(G187:G190)</f>
        <v>9000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2134746.12</v>
      </c>
      <c r="G192" s="47">
        <f>G111+G139+G168+G191</f>
        <v>57991.490000000005</v>
      </c>
      <c r="H192" s="47">
        <f>H111+H139+H168+H191</f>
        <v>203670.13999999998</v>
      </c>
      <c r="I192" s="47">
        <f>I111+I139+I168+I191</f>
        <v>0</v>
      </c>
      <c r="J192" s="47">
        <f>J111+J139+J191</f>
        <v>20292.740000000002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200200+15204.07+19253.35+7310</f>
        <v>241967.42</v>
      </c>
      <c r="G196" s="18">
        <f>85116.8+17754.3+22622.58+896.42+361-3748.88</f>
        <v>123002.22</v>
      </c>
      <c r="H196" s="18">
        <f>14701.91+5088.3+5707.39+14806</f>
        <v>40303.599999999999</v>
      </c>
      <c r="I196" s="18">
        <f>11884.25+6023.11+203.31</f>
        <v>18110.670000000002</v>
      </c>
      <c r="J196" s="18">
        <f>2101.1</f>
        <v>2101.1</v>
      </c>
      <c r="K196" s="18">
        <v>206</v>
      </c>
      <c r="L196" s="19">
        <f>SUM(F196:K196)</f>
        <v>425691.00999999995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44950+39888.5</f>
        <v>84838.5</v>
      </c>
      <c r="G197" s="18">
        <f>6890.31+6423.82+5079.35</f>
        <v>18393.480000000003</v>
      </c>
      <c r="H197" s="18">
        <f>8296.58+38063.92+555</f>
        <v>46915.5</v>
      </c>
      <c r="I197" s="18">
        <f>276.82+479.09+90.75</f>
        <v>846.66</v>
      </c>
      <c r="J197" s="18">
        <v>580.15</v>
      </c>
      <c r="K197" s="18"/>
      <c r="L197" s="19">
        <f>SUM(F197:K197)</f>
        <v>151574.29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58309.68+13409.42</f>
        <v>71719.100000000006</v>
      </c>
      <c r="G201" s="18">
        <f>13493.51+4460.7+1025.88</f>
        <v>18980.09</v>
      </c>
      <c r="H201" s="18">
        <f>24743.84+17961.16+110+500+6965.18+22741+36.63+295</f>
        <v>73352.81</v>
      </c>
      <c r="I201" s="18">
        <f>876.59+452.85+132.51+553.2+1346</f>
        <v>3361.15</v>
      </c>
      <c r="J201" s="18">
        <f>1830.3</f>
        <v>1830.3</v>
      </c>
      <c r="K201" s="18">
        <f>597.44</f>
        <v>597.44000000000005</v>
      </c>
      <c r="L201" s="19">
        <f t="shared" ref="L201:L207" si="0">SUM(F201:K201)</f>
        <v>169840.88999999998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23968.98</f>
        <v>23968.98</v>
      </c>
      <c r="G202" s="18">
        <f>1833.61</f>
        <v>1833.61</v>
      </c>
      <c r="H202" s="18">
        <f>408+295.14</f>
        <v>703.14</v>
      </c>
      <c r="I202" s="18">
        <f>100.01+308.85+2259.05</f>
        <v>2667.9100000000003</v>
      </c>
      <c r="J202" s="18">
        <f>149.44</f>
        <v>149.44</v>
      </c>
      <c r="K202" s="18">
        <f>604+950</f>
        <v>1554</v>
      </c>
      <c r="L202" s="19">
        <f t="shared" si="0"/>
        <v>30877.079999999998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1782.5</f>
        <v>1782.5</v>
      </c>
      <c r="G203" s="18">
        <f>136.38</f>
        <v>136.38</v>
      </c>
      <c r="H203" s="18">
        <f>9481.6+2124.06+1129.35+57540.77+256</f>
        <v>70531.78</v>
      </c>
      <c r="I203" s="18">
        <f>405.31</f>
        <v>405.31</v>
      </c>
      <c r="J203" s="18"/>
      <c r="K203" s="18">
        <v>2035.36</v>
      </c>
      <c r="L203" s="19">
        <f t="shared" si="0"/>
        <v>74891.33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39338.05+26587.56+1250</f>
        <v>67175.61</v>
      </c>
      <c r="G204" s="18">
        <f>32384.43+4865.41+4586.38+500</f>
        <v>42336.219999999994</v>
      </c>
      <c r="H204" s="18">
        <f>3693.16+115+1525.63+216.17+88.2+104</f>
        <v>5742.16</v>
      </c>
      <c r="I204" s="18">
        <f>1346.59</f>
        <v>1346.59</v>
      </c>
      <c r="J204" s="18">
        <f>98.67+986.9</f>
        <v>1085.57</v>
      </c>
      <c r="K204" s="18">
        <f>2549.84</f>
        <v>2549.84</v>
      </c>
      <c r="L204" s="19">
        <f t="shared" si="0"/>
        <v>120235.98999999999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23713.74</f>
        <v>23713.74</v>
      </c>
      <c r="G206" s="18">
        <f>13780.62+1683.82</f>
        <v>15464.44</v>
      </c>
      <c r="H206" s="18">
        <f>8582.5+888+1324.44+3547.5+13672.62+7040+29</f>
        <v>35084.06</v>
      </c>
      <c r="I206" s="18">
        <f>8412.22+17515.52+12009.1+77.5</f>
        <v>38014.339999999997</v>
      </c>
      <c r="J206" s="18">
        <v>1040.92</v>
      </c>
      <c r="K206" s="18">
        <v>1347</v>
      </c>
      <c r="L206" s="19">
        <f t="shared" si="0"/>
        <v>114664.49999999999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20748.74+587.44+1942.4+621.84</f>
        <v>23900.420000000002</v>
      </c>
      <c r="G207" s="18">
        <f>1632.26+326.09+148.58+47.56</f>
        <v>2154.4899999999998</v>
      </c>
      <c r="H207" s="18">
        <f>11731.4+1782.2+462.6+1138.48+166.14</f>
        <v>15280.82</v>
      </c>
      <c r="I207" s="18">
        <f>671.82+113.4+10040.47+1534.6+335.71</f>
        <v>12695.999999999998</v>
      </c>
      <c r="J207" s="18">
        <f>48996.5</f>
        <v>48996.5</v>
      </c>
      <c r="K207" s="18">
        <f>951.6</f>
        <v>951.6</v>
      </c>
      <c r="L207" s="19">
        <f t="shared" si="0"/>
        <v>103979.83000000002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539066.27</v>
      </c>
      <c r="G210" s="41">
        <f t="shared" si="1"/>
        <v>222300.93</v>
      </c>
      <c r="H210" s="41">
        <f t="shared" si="1"/>
        <v>287913.87000000005</v>
      </c>
      <c r="I210" s="41">
        <f t="shared" si="1"/>
        <v>77448.63</v>
      </c>
      <c r="J210" s="41">
        <f t="shared" si="1"/>
        <v>55783.979999999996</v>
      </c>
      <c r="K210" s="41">
        <f t="shared" si="1"/>
        <v>9241.24</v>
      </c>
      <c r="L210" s="41">
        <f t="shared" si="1"/>
        <v>1191754.92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124328.38+343166.66</f>
        <v>467495.04</v>
      </c>
      <c r="I232" s="18"/>
      <c r="J232" s="18"/>
      <c r="K232" s="18"/>
      <c r="L232" s="19">
        <f>SUM(F232:K232)</f>
        <v>467495.04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9652.44+102605</f>
        <v>112257.44</v>
      </c>
      <c r="I233" s="18"/>
      <c r="J233" s="18"/>
      <c r="K233" s="18"/>
      <c r="L233" s="19">
        <f>SUM(F233:K233)</f>
        <v>112257.44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1800+2160+420+204.36</f>
        <v>4584.3599999999997</v>
      </c>
      <c r="I237" s="18"/>
      <c r="J237" s="18"/>
      <c r="K237" s="18"/>
      <c r="L237" s="19">
        <f t="shared" ref="L237:L243" si="4">SUM(F237:K237)</f>
        <v>4584.3599999999997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1242.5</v>
      </c>
      <c r="G239" s="18">
        <f>95.06</f>
        <v>95.06</v>
      </c>
      <c r="H239" s="18">
        <f>4000.4+932.94+331.84+25550.63</f>
        <v>30815.81</v>
      </c>
      <c r="I239" s="18">
        <f>37.01</f>
        <v>37.01</v>
      </c>
      <c r="J239" s="18"/>
      <c r="K239" s="18">
        <f>779.45</f>
        <v>779.45</v>
      </c>
      <c r="L239" s="19">
        <f t="shared" si="4"/>
        <v>32969.83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11155.58+266.65+2298.99</f>
        <v>13721.22</v>
      </c>
      <c r="G243" s="18">
        <f>873.8+145.41+175.87</f>
        <v>1195.08</v>
      </c>
      <c r="H243" s="18">
        <f>5118.09+5596.5+763.8+257.4+26885</f>
        <v>38620.79</v>
      </c>
      <c r="I243" s="18">
        <f>410.53+48.6+6132.3+794.7</f>
        <v>7386.13</v>
      </c>
      <c r="J243" s="18">
        <f>20998.5</f>
        <v>20998.5</v>
      </c>
      <c r="K243" s="18"/>
      <c r="L243" s="19">
        <f t="shared" si="4"/>
        <v>81921.72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14963.72</v>
      </c>
      <c r="G246" s="41">
        <f t="shared" si="5"/>
        <v>1290.1399999999999</v>
      </c>
      <c r="H246" s="41">
        <f t="shared" si="5"/>
        <v>653773.44000000006</v>
      </c>
      <c r="I246" s="41">
        <f t="shared" si="5"/>
        <v>7423.14</v>
      </c>
      <c r="J246" s="41">
        <f t="shared" si="5"/>
        <v>20998.5</v>
      </c>
      <c r="K246" s="41">
        <f t="shared" si="5"/>
        <v>779.45</v>
      </c>
      <c r="L246" s="41">
        <f t="shared" si="5"/>
        <v>699228.3899999999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554029.99</v>
      </c>
      <c r="G256" s="41">
        <f t="shared" si="8"/>
        <v>223591.07</v>
      </c>
      <c r="H256" s="41">
        <f t="shared" si="8"/>
        <v>941687.31</v>
      </c>
      <c r="I256" s="41">
        <f t="shared" si="8"/>
        <v>84871.77</v>
      </c>
      <c r="J256" s="41">
        <f t="shared" si="8"/>
        <v>76782.48</v>
      </c>
      <c r="K256" s="41">
        <f t="shared" si="8"/>
        <v>10020.69</v>
      </c>
      <c r="L256" s="41">
        <f t="shared" si="8"/>
        <v>1890983.3099999998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45000</v>
      </c>
      <c r="L259" s="19">
        <f>SUM(F259:K259)</f>
        <v>45000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12840</v>
      </c>
      <c r="L260" s="19">
        <f>SUM(F260:K260)</f>
        <v>12840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9000</v>
      </c>
      <c r="L262" s="19">
        <f>SUM(F262:K262)</f>
        <v>9000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86840</v>
      </c>
      <c r="L269" s="41">
        <f t="shared" si="9"/>
        <v>86840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554029.99</v>
      </c>
      <c r="G270" s="42">
        <f t="shared" si="11"/>
        <v>223591.07</v>
      </c>
      <c r="H270" s="42">
        <f t="shared" si="11"/>
        <v>941687.31</v>
      </c>
      <c r="I270" s="42">
        <f t="shared" si="11"/>
        <v>84871.77</v>
      </c>
      <c r="J270" s="42">
        <f t="shared" si="11"/>
        <v>76782.48</v>
      </c>
      <c r="K270" s="42">
        <f t="shared" si="11"/>
        <v>96860.69</v>
      </c>
      <c r="L270" s="42">
        <f t="shared" si="11"/>
        <v>1977823.3099999998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f>1754.5+453</f>
        <v>2207.5</v>
      </c>
      <c r="J275" s="18">
        <v>1598.5</v>
      </c>
      <c r="K275" s="18"/>
      <c r="L275" s="19">
        <f>SUM(F275:K275)</f>
        <v>3806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52056.72+14168</f>
        <v>66224.72</v>
      </c>
      <c r="G276" s="18">
        <f>24028.3+4805.31+5882.47</f>
        <v>34716.080000000002</v>
      </c>
      <c r="H276" s="18"/>
      <c r="I276" s="18"/>
      <c r="J276" s="18">
        <f>643.15+8668+6703.5</f>
        <v>16014.65</v>
      </c>
      <c r="K276" s="18">
        <f>480</f>
        <v>480</v>
      </c>
      <c r="L276" s="19">
        <f>SUM(F276:K276)</f>
        <v>117435.45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8043.75+1777.18</f>
        <v>9820.93</v>
      </c>
      <c r="G278" s="18">
        <f>783.24+751.35</f>
        <v>1534.5900000000001</v>
      </c>
      <c r="H278" s="18"/>
      <c r="I278" s="18"/>
      <c r="J278" s="18"/>
      <c r="K278" s="18"/>
      <c r="L278" s="19">
        <f>SUM(F278:K278)</f>
        <v>11355.52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450+593.19+163.56</f>
        <v>1206.75</v>
      </c>
      <c r="G280" s="18">
        <f>34.42+50.86+45.37+12.52</f>
        <v>143.17000000000002</v>
      </c>
      <c r="H280" s="18">
        <v>3920.15</v>
      </c>
      <c r="I280" s="18">
        <f>81.82+254.88</f>
        <v>336.7</v>
      </c>
      <c r="J280" s="18"/>
      <c r="K280" s="18"/>
      <c r="L280" s="19">
        <f t="shared" ref="L280:L286" si="12">SUM(F280:K280)</f>
        <v>5606.7699999999995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10536.86+1500</f>
        <v>12036.86</v>
      </c>
      <c r="G281" s="18">
        <f>806.16+1100.25+114.75+169.5</f>
        <v>2190.66</v>
      </c>
      <c r="H281" s="18">
        <f>27206.56+5211+4500+365+1900+570.84</f>
        <v>39753.399999999994</v>
      </c>
      <c r="I281" s="18">
        <f>90.11</f>
        <v>90.11</v>
      </c>
      <c r="J281" s="18"/>
      <c r="K281" s="18"/>
      <c r="L281" s="19">
        <f t="shared" si="12"/>
        <v>54071.03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6999.99</v>
      </c>
      <c r="G282" s="18">
        <v>1326.61</v>
      </c>
      <c r="H282" s="18"/>
      <c r="I282" s="18"/>
      <c r="J282" s="18"/>
      <c r="K282" s="18"/>
      <c r="L282" s="19">
        <f t="shared" si="12"/>
        <v>8326.6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2500</v>
      </c>
      <c r="L284" s="19">
        <f t="shared" si="12"/>
        <v>2500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f>528.35</f>
        <v>528.35</v>
      </c>
      <c r="G286" s="18">
        <f>40.42</f>
        <v>40.42</v>
      </c>
      <c r="H286" s="18"/>
      <c r="I286" s="18"/>
      <c r="J286" s="18"/>
      <c r="K286" s="18"/>
      <c r="L286" s="19">
        <f t="shared" si="12"/>
        <v>568.77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96817.600000000006</v>
      </c>
      <c r="G289" s="42">
        <f t="shared" si="13"/>
        <v>39951.53</v>
      </c>
      <c r="H289" s="42">
        <f t="shared" si="13"/>
        <v>43673.549999999996</v>
      </c>
      <c r="I289" s="42">
        <f t="shared" si="13"/>
        <v>2634.31</v>
      </c>
      <c r="J289" s="42">
        <f t="shared" si="13"/>
        <v>17613.150000000001</v>
      </c>
      <c r="K289" s="42">
        <f t="shared" si="13"/>
        <v>2980</v>
      </c>
      <c r="L289" s="41">
        <f t="shared" si="13"/>
        <v>203670.13999999998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96817.600000000006</v>
      </c>
      <c r="G337" s="41">
        <f t="shared" si="20"/>
        <v>39951.53</v>
      </c>
      <c r="H337" s="41">
        <f t="shared" si="20"/>
        <v>43673.549999999996</v>
      </c>
      <c r="I337" s="41">
        <f t="shared" si="20"/>
        <v>2634.31</v>
      </c>
      <c r="J337" s="41">
        <f t="shared" si="20"/>
        <v>17613.150000000001</v>
      </c>
      <c r="K337" s="41">
        <f t="shared" si="20"/>
        <v>2980</v>
      </c>
      <c r="L337" s="41">
        <f t="shared" si="20"/>
        <v>203670.13999999998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96817.600000000006</v>
      </c>
      <c r="G351" s="41">
        <f>G337</f>
        <v>39951.53</v>
      </c>
      <c r="H351" s="41">
        <f>H337</f>
        <v>43673.549999999996</v>
      </c>
      <c r="I351" s="41">
        <f>I337</f>
        <v>2634.31</v>
      </c>
      <c r="J351" s="41">
        <f>J337</f>
        <v>17613.150000000001</v>
      </c>
      <c r="K351" s="47">
        <f>K337+K350</f>
        <v>2980</v>
      </c>
      <c r="L351" s="41">
        <f>L337+L350</f>
        <v>203670.13999999998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58053.24</v>
      </c>
      <c r="I357" s="18">
        <f>705.18+536.48</f>
        <v>1241.6599999999999</v>
      </c>
      <c r="J357" s="18"/>
      <c r="K357" s="18"/>
      <c r="L357" s="13">
        <f>SUM(F357:K357)</f>
        <v>59294.899999999994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58053.24</v>
      </c>
      <c r="I361" s="47">
        <f t="shared" si="22"/>
        <v>1241.6599999999999</v>
      </c>
      <c r="J361" s="47">
        <f t="shared" si="22"/>
        <v>0</v>
      </c>
      <c r="K361" s="47">
        <f t="shared" si="22"/>
        <v>0</v>
      </c>
      <c r="L361" s="47">
        <f t="shared" si="22"/>
        <v>59294.899999999994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705.18</v>
      </c>
      <c r="G366" s="18"/>
      <c r="H366" s="18"/>
      <c r="I366" s="56">
        <f>SUM(F366:H366)</f>
        <v>705.18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536.48</v>
      </c>
      <c r="G367" s="63"/>
      <c r="H367" s="63"/>
      <c r="I367" s="56">
        <f>SUM(F367:H367)</f>
        <v>536.48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1241.6599999999999</v>
      </c>
      <c r="G368" s="47">
        <f>SUM(G366:G367)</f>
        <v>0</v>
      </c>
      <c r="H368" s="47">
        <f>SUM(H366:H367)</f>
        <v>0</v>
      </c>
      <c r="I368" s="47">
        <f>SUM(I366:I367)</f>
        <v>1241.6599999999999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v>32.28</v>
      </c>
      <c r="I389" s="18"/>
      <c r="J389" s="24" t="s">
        <v>289</v>
      </c>
      <c r="K389" s="24" t="s">
        <v>289</v>
      </c>
      <c r="L389" s="56">
        <f t="shared" si="25"/>
        <v>32.28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32.28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32.28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2.59</v>
      </c>
      <c r="I395" s="18"/>
      <c r="J395" s="24" t="s">
        <v>289</v>
      </c>
      <c r="K395" s="24" t="s">
        <v>289</v>
      </c>
      <c r="L395" s="56">
        <f t="shared" si="26"/>
        <v>2.59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20000</v>
      </c>
      <c r="H397" s="18">
        <v>252.16</v>
      </c>
      <c r="I397" s="18"/>
      <c r="J397" s="24" t="s">
        <v>289</v>
      </c>
      <c r="K397" s="24" t="s">
        <v>289</v>
      </c>
      <c r="L397" s="56">
        <f t="shared" si="26"/>
        <v>20252.16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5.71</v>
      </c>
      <c r="I399" s="18"/>
      <c r="J399" s="24" t="s">
        <v>289</v>
      </c>
      <c r="K399" s="24" t="s">
        <v>289</v>
      </c>
      <c r="L399" s="56">
        <f t="shared" si="26"/>
        <v>5.71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260.45999999999998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20260.46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292.74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20292.739999999998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>
        <v>69995</v>
      </c>
      <c r="L415" s="56">
        <f t="shared" si="27"/>
        <v>69995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69995</v>
      </c>
      <c r="L418" s="47">
        <f t="shared" si="28"/>
        <v>69995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>
        <v>100</v>
      </c>
      <c r="L425" s="56">
        <f t="shared" si="29"/>
        <v>100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100</v>
      </c>
      <c r="L426" s="47">
        <f t="shared" si="30"/>
        <v>100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70095</v>
      </c>
      <c r="L433" s="47">
        <f t="shared" si="32"/>
        <v>70095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129314.16</v>
      </c>
      <c r="G438" s="18">
        <f>1068.21+11986.52+2105.78+20000</f>
        <v>35160.51</v>
      </c>
      <c r="H438" s="18"/>
      <c r="I438" s="56">
        <f t="shared" ref="I438:I444" si="33">SUM(F438:H438)</f>
        <v>164474.67000000001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129314.16</v>
      </c>
      <c r="G445" s="13">
        <f>SUM(G438:G444)</f>
        <v>35160.51</v>
      </c>
      <c r="H445" s="13">
        <f>SUM(H438:H444)</f>
        <v>0</v>
      </c>
      <c r="I445" s="13">
        <f>SUM(I438:I444)</f>
        <v>164474.67000000001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>
        <v>50</v>
      </c>
      <c r="H449" s="18">
        <v>0</v>
      </c>
      <c r="I449" s="56">
        <f>SUM(F449:H449)</f>
        <v>50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50</v>
      </c>
      <c r="H451" s="72">
        <f>SUM(H447:H450)</f>
        <v>0</v>
      </c>
      <c r="I451" s="72">
        <f>SUM(I447:I450)</f>
        <v>50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129314.16</v>
      </c>
      <c r="G458" s="18">
        <v>35110.51</v>
      </c>
      <c r="H458" s="18"/>
      <c r="I458" s="56">
        <f t="shared" si="34"/>
        <v>164424.67000000001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129314.16</v>
      </c>
      <c r="G459" s="83">
        <f>SUM(G453:G458)</f>
        <v>35110.51</v>
      </c>
      <c r="H459" s="83">
        <f>SUM(H453:H458)</f>
        <v>0</v>
      </c>
      <c r="I459" s="83">
        <f>SUM(I453:I458)</f>
        <v>164424.67000000001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129314.16</v>
      </c>
      <c r="G460" s="42">
        <f>G451+G459</f>
        <v>35160.51</v>
      </c>
      <c r="H460" s="42">
        <f>H451+H459</f>
        <v>0</v>
      </c>
      <c r="I460" s="42">
        <f>I451+I459</f>
        <v>164474.67000000001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41528.839999999997</v>
      </c>
      <c r="G464" s="18">
        <v>13760.55</v>
      </c>
      <c r="H464" s="18">
        <v>0</v>
      </c>
      <c r="I464" s="18"/>
      <c r="J464" s="18">
        <f>214176.93+50</f>
        <v>214226.93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2134746.12</v>
      </c>
      <c r="G467" s="18">
        <f>48991.49+9000</f>
        <v>57991.49</v>
      </c>
      <c r="H467" s="18">
        <v>203670.14</v>
      </c>
      <c r="I467" s="18"/>
      <c r="J467" s="18">
        <v>20292.740000000002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2134746.12</v>
      </c>
      <c r="G469" s="53">
        <f>SUM(G467:G468)</f>
        <v>57991.49</v>
      </c>
      <c r="H469" s="53">
        <f>SUM(H467:H468)</f>
        <v>203670.14</v>
      </c>
      <c r="I469" s="53">
        <f>SUM(I467:I468)</f>
        <v>0</v>
      </c>
      <c r="J469" s="53">
        <f>SUM(J467:J468)</f>
        <v>20292.740000000002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1977823.31</v>
      </c>
      <c r="G471" s="18">
        <v>59294.9</v>
      </c>
      <c r="H471" s="18">
        <v>203670.14</v>
      </c>
      <c r="I471" s="18"/>
      <c r="J471" s="18">
        <f>70045+50</f>
        <v>70095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1975.2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1977823.31</v>
      </c>
      <c r="G473" s="53">
        <f>SUM(G471:G472)</f>
        <v>61270.1</v>
      </c>
      <c r="H473" s="53">
        <f>SUM(H471:H472)</f>
        <v>203670.14</v>
      </c>
      <c r="I473" s="53">
        <f>SUM(I471:I472)</f>
        <v>0</v>
      </c>
      <c r="J473" s="53">
        <f>SUM(J471:J472)</f>
        <v>70095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198451.64999999991</v>
      </c>
      <c r="G475" s="53">
        <f>(G464+G469)- G473</f>
        <v>10481.939999999995</v>
      </c>
      <c r="H475" s="53">
        <f>(H464+H469)- H473</f>
        <v>0</v>
      </c>
      <c r="I475" s="53">
        <f>(I464+I469)- I473</f>
        <v>0</v>
      </c>
      <c r="J475" s="53">
        <f>(J464+J469)- J473</f>
        <v>164424.66999999998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911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249438</v>
      </c>
      <c r="G492" s="18">
        <v>748312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5.01</v>
      </c>
      <c r="G493" s="18">
        <v>4.9800000000000004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245000</v>
      </c>
      <c r="G494" s="18">
        <v>60000</v>
      </c>
      <c r="H494" s="18"/>
      <c r="I494" s="18"/>
      <c r="J494" s="18"/>
      <c r="K494" s="53">
        <f>SUM(F494:J494)</f>
        <v>305000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35000</v>
      </c>
      <c r="G496" s="18">
        <v>10000</v>
      </c>
      <c r="H496" s="18"/>
      <c r="I496" s="18"/>
      <c r="J496" s="18"/>
      <c r="K496" s="53">
        <f t="shared" si="35"/>
        <v>45000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210000</v>
      </c>
      <c r="G497" s="204">
        <v>50000</v>
      </c>
      <c r="H497" s="204"/>
      <c r="I497" s="204"/>
      <c r="J497" s="204"/>
      <c r="K497" s="205">
        <f t="shared" si="35"/>
        <v>260000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32690</v>
      </c>
      <c r="G498" s="18">
        <v>9475</v>
      </c>
      <c r="H498" s="18"/>
      <c r="I498" s="18"/>
      <c r="J498" s="18"/>
      <c r="K498" s="53">
        <f t="shared" si="35"/>
        <v>42165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242690</v>
      </c>
      <c r="G499" s="42">
        <f>SUM(G497:G498)</f>
        <v>59475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302165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35000</v>
      </c>
      <c r="G500" s="204">
        <v>10000</v>
      </c>
      <c r="H500" s="204"/>
      <c r="I500" s="204"/>
      <c r="J500" s="204"/>
      <c r="K500" s="205">
        <f t="shared" si="35"/>
        <v>45000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4532.5+3640</f>
        <v>8172.5</v>
      </c>
      <c r="G501" s="18">
        <f>1312.5+1052.5</f>
        <v>2365</v>
      </c>
      <c r="H501" s="18"/>
      <c r="I501" s="18"/>
      <c r="J501" s="18"/>
      <c r="K501" s="53">
        <f t="shared" si="35"/>
        <v>10537.5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43172.5</v>
      </c>
      <c r="G502" s="42">
        <f>SUM(G500:G501)</f>
        <v>12365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55537.5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44950+39888.5</f>
        <v>84838.5</v>
      </c>
      <c r="G520" s="18">
        <f>6890.31+6423.82+5079.35</f>
        <v>18393.480000000003</v>
      </c>
      <c r="H520" s="18">
        <f>8296.58+38063.92+555</f>
        <v>46915.5</v>
      </c>
      <c r="I520" s="18">
        <f>276.82+479.09</f>
        <v>755.91</v>
      </c>
      <c r="J520" s="18">
        <f>460.2</f>
        <v>460.2</v>
      </c>
      <c r="K520" s="18"/>
      <c r="L520" s="88">
        <f>SUM(F520:K520)</f>
        <v>151363.59000000003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9652.44+102605</f>
        <v>112257.44</v>
      </c>
      <c r="I522" s="18"/>
      <c r="J522" s="18"/>
      <c r="K522" s="18"/>
      <c r="L522" s="88">
        <f>SUM(F522:K522)</f>
        <v>112257.44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84838.5</v>
      </c>
      <c r="G523" s="108">
        <f t="shared" ref="G523:L523" si="36">SUM(G520:G522)</f>
        <v>18393.480000000003</v>
      </c>
      <c r="H523" s="108">
        <f t="shared" si="36"/>
        <v>159172.94</v>
      </c>
      <c r="I523" s="108">
        <f t="shared" si="36"/>
        <v>755.91</v>
      </c>
      <c r="J523" s="108">
        <f t="shared" si="36"/>
        <v>460.2</v>
      </c>
      <c r="K523" s="108">
        <f t="shared" si="36"/>
        <v>0</v>
      </c>
      <c r="L523" s="89">
        <f t="shared" si="36"/>
        <v>263621.03000000003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35055.11+7623.76</f>
        <v>42678.87</v>
      </c>
      <c r="G525" s="18">
        <f>9007.85+2681.73+583.27</f>
        <v>12272.85</v>
      </c>
      <c r="H525" s="18">
        <f>500+6965.18+7686</f>
        <v>15151.18</v>
      </c>
      <c r="I525" s="18">
        <f>452.85+132.51</f>
        <v>585.36</v>
      </c>
      <c r="J525" s="18"/>
      <c r="K525" s="18"/>
      <c r="L525" s="88">
        <f>SUM(F525:K525)</f>
        <v>70688.259999999995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1800+2160+420+204.36</f>
        <v>4584.3599999999997</v>
      </c>
      <c r="I527" s="18"/>
      <c r="J527" s="18"/>
      <c r="K527" s="18"/>
      <c r="L527" s="88">
        <f>SUM(F527:K527)</f>
        <v>4584.3599999999997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42678.87</v>
      </c>
      <c r="G528" s="89">
        <f t="shared" ref="G528:L528" si="37">SUM(G525:G527)</f>
        <v>12272.85</v>
      </c>
      <c r="H528" s="89">
        <f t="shared" si="37"/>
        <v>19735.54</v>
      </c>
      <c r="I528" s="89">
        <f t="shared" si="37"/>
        <v>585.36</v>
      </c>
      <c r="J528" s="89">
        <f t="shared" si="37"/>
        <v>0</v>
      </c>
      <c r="K528" s="89">
        <f t="shared" si="37"/>
        <v>0</v>
      </c>
      <c r="L528" s="89">
        <f t="shared" si="37"/>
        <v>75272.62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f>19756*0.7</f>
        <v>13829.199999999999</v>
      </c>
      <c r="I530" s="18"/>
      <c r="J530" s="18"/>
      <c r="K530" s="18"/>
      <c r="L530" s="88">
        <f>SUM(F530:K530)</f>
        <v>13829.199999999999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f>19756-13829.2</f>
        <v>5926.7999999999993</v>
      </c>
      <c r="I532" s="18"/>
      <c r="J532" s="18"/>
      <c r="K532" s="18"/>
      <c r="L532" s="88">
        <f>SUM(F532:K532)</f>
        <v>5926.7999999999993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19756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19756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929.13</v>
      </c>
      <c r="I535" s="18"/>
      <c r="J535" s="18"/>
      <c r="K535" s="18"/>
      <c r="L535" s="88">
        <f>SUM(F535:K535)</f>
        <v>929.13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929.13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929.13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1138.48+711</f>
        <v>1849.48</v>
      </c>
      <c r="I540" s="18"/>
      <c r="J540" s="18"/>
      <c r="K540" s="18"/>
      <c r="L540" s="88">
        <f>SUM(F540:K540)</f>
        <v>1849.48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26885</v>
      </c>
      <c r="I542" s="18"/>
      <c r="J542" s="18"/>
      <c r="K542" s="18"/>
      <c r="L542" s="88">
        <f>SUM(F542:K542)</f>
        <v>26885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28734.48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28734.48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127517.37</v>
      </c>
      <c r="G544" s="89">
        <f t="shared" ref="G544:L544" si="41">G523+G528+G533+G538+G543</f>
        <v>30666.33</v>
      </c>
      <c r="H544" s="89">
        <f t="shared" si="41"/>
        <v>228328.09000000003</v>
      </c>
      <c r="I544" s="89">
        <f t="shared" si="41"/>
        <v>1341.27</v>
      </c>
      <c r="J544" s="89">
        <f t="shared" si="41"/>
        <v>460.2</v>
      </c>
      <c r="K544" s="89">
        <f t="shared" si="41"/>
        <v>0</v>
      </c>
      <c r="L544" s="89">
        <f t="shared" si="41"/>
        <v>388313.26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151363.59000000003</v>
      </c>
      <c r="G548" s="87">
        <f>L525</f>
        <v>70688.259999999995</v>
      </c>
      <c r="H548" s="87">
        <f>L530</f>
        <v>13829.199999999999</v>
      </c>
      <c r="I548" s="87">
        <f>L535</f>
        <v>929.13</v>
      </c>
      <c r="J548" s="87">
        <f>L540</f>
        <v>1849.48</v>
      </c>
      <c r="K548" s="87">
        <f>SUM(F548:J548)</f>
        <v>238659.66000000006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112257.44</v>
      </c>
      <c r="G550" s="87">
        <f>L527</f>
        <v>4584.3599999999997</v>
      </c>
      <c r="H550" s="87">
        <f>L532</f>
        <v>5926.7999999999993</v>
      </c>
      <c r="I550" s="87">
        <f>L537</f>
        <v>0</v>
      </c>
      <c r="J550" s="87">
        <f>L542</f>
        <v>26885</v>
      </c>
      <c r="K550" s="87">
        <f>SUM(F550:J550)</f>
        <v>149653.6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263621.03000000003</v>
      </c>
      <c r="G551" s="89">
        <f t="shared" si="42"/>
        <v>75272.62</v>
      </c>
      <c r="H551" s="89">
        <f t="shared" si="42"/>
        <v>19756</v>
      </c>
      <c r="I551" s="89">
        <f t="shared" si="42"/>
        <v>929.13</v>
      </c>
      <c r="J551" s="89">
        <f t="shared" si="42"/>
        <v>28734.48</v>
      </c>
      <c r="K551" s="89">
        <f t="shared" si="42"/>
        <v>388313.26000000007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f>14806+38063.92</f>
        <v>52869.919999999998</v>
      </c>
      <c r="G574" s="18"/>
      <c r="H574" s="18">
        <f>124328.38+9652.44</f>
        <v>133980.82</v>
      </c>
      <c r="I574" s="87">
        <f>SUM(F574:H574)</f>
        <v>186850.74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343166.66</v>
      </c>
      <c r="I575" s="87">
        <f t="shared" ref="I575:I586" si="47">SUM(F575:H575)</f>
        <v>343166.66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555</v>
      </c>
      <c r="G577" s="18"/>
      <c r="H577" s="18">
        <v>102605</v>
      </c>
      <c r="I577" s="87">
        <f t="shared" si="47"/>
        <v>103160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98044.52</v>
      </c>
      <c r="I590" s="18"/>
      <c r="J590" s="18">
        <v>51767.16</v>
      </c>
      <c r="K590" s="104">
        <f t="shared" ref="K590:K596" si="48">SUM(H590:J590)</f>
        <v>149811.68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4764.0600000000004</v>
      </c>
      <c r="I591" s="18"/>
      <c r="J591" s="18">
        <v>30154.560000000001</v>
      </c>
      <c r="K591" s="104">
        <f t="shared" si="48"/>
        <v>34918.620000000003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1171.25</v>
      </c>
      <c r="I594" s="18"/>
      <c r="J594" s="18"/>
      <c r="K594" s="104">
        <f t="shared" si="48"/>
        <v>1171.25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103979.83</v>
      </c>
      <c r="I597" s="108">
        <f>SUM(I590:I596)</f>
        <v>0</v>
      </c>
      <c r="J597" s="108">
        <f>SUM(J590:J596)</f>
        <v>81921.72</v>
      </c>
      <c r="K597" s="108">
        <f>SUM(K590:K596)</f>
        <v>185901.55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73397.13</v>
      </c>
      <c r="I603" s="18"/>
      <c r="J603" s="18">
        <v>20998.5</v>
      </c>
      <c r="K603" s="104">
        <f>SUM(H603:J603)</f>
        <v>94395.63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73397.13</v>
      </c>
      <c r="I604" s="108">
        <f>SUM(I601:I603)</f>
        <v>0</v>
      </c>
      <c r="J604" s="108">
        <f>SUM(J601:J603)</f>
        <v>20998.5</v>
      </c>
      <c r="K604" s="108">
        <f>SUM(K601:K603)</f>
        <v>94395.63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8043.75+1777.18</f>
        <v>9820.93</v>
      </c>
      <c r="G610" s="18">
        <f>751.35+783.24</f>
        <v>1534.5900000000001</v>
      </c>
      <c r="H610" s="18"/>
      <c r="I610" s="18"/>
      <c r="J610" s="18"/>
      <c r="K610" s="18"/>
      <c r="L610" s="88">
        <f>SUM(F610:K610)</f>
        <v>11355.52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9820.93</v>
      </c>
      <c r="G613" s="108">
        <f t="shared" si="49"/>
        <v>1534.5900000000001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11355.52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234491.04</v>
      </c>
      <c r="H616" s="109">
        <f>SUM(F51)</f>
        <v>234491.03999999998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11136.2</v>
      </c>
      <c r="H617" s="109">
        <f>SUM(G51)</f>
        <v>11136.199999999995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63139.16</v>
      </c>
      <c r="H618" s="109">
        <f>SUM(H51)</f>
        <v>63139.16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164474.67000000001</v>
      </c>
      <c r="H620" s="109">
        <f>SUM(J51)</f>
        <v>164474.67000000001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198451.65</v>
      </c>
      <c r="H621" s="109">
        <f>F475</f>
        <v>198451.64999999991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10481.939999999995</v>
      </c>
      <c r="H622" s="109">
        <f>G475</f>
        <v>10481.939999999995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164424.67000000001</v>
      </c>
      <c r="H625" s="109">
        <f>J475</f>
        <v>164424.66999999998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2134746.12</v>
      </c>
      <c r="H626" s="104">
        <f>SUM(F467)</f>
        <v>2134746.12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57991.490000000005</v>
      </c>
      <c r="H627" s="104">
        <f>SUM(G467)</f>
        <v>57991.49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203670.13999999998</v>
      </c>
      <c r="H628" s="104">
        <f>SUM(H467)</f>
        <v>203670.14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20292.740000000002</v>
      </c>
      <c r="H630" s="104">
        <f>SUM(J467)</f>
        <v>20292.740000000002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1977823.3099999998</v>
      </c>
      <c r="H631" s="104">
        <f>SUM(F471)</f>
        <v>1977823.31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203670.13999999998</v>
      </c>
      <c r="H632" s="104">
        <f>SUM(H471)</f>
        <v>203670.14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1241.6599999999999</v>
      </c>
      <c r="H633" s="104">
        <f>I368</f>
        <v>1241.6599999999999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59294.899999999994</v>
      </c>
      <c r="H634" s="104">
        <f>SUM(G471)</f>
        <v>59294.9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20292.739999999998</v>
      </c>
      <c r="H636" s="164">
        <f>SUM(J467)</f>
        <v>20292.740000000002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70095</v>
      </c>
      <c r="H637" s="164">
        <f>SUM(J471)</f>
        <v>70095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129314.16</v>
      </c>
      <c r="H638" s="104">
        <f>SUM(F460)</f>
        <v>129314.16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35160.51</v>
      </c>
      <c r="H639" s="104">
        <f>SUM(G460)</f>
        <v>35160.51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164474.67000000001</v>
      </c>
      <c r="H641" s="104">
        <f>SUM(I460)</f>
        <v>164474.67000000001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292.74</v>
      </c>
      <c r="H643" s="104">
        <f>H407</f>
        <v>292.74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20292.740000000002</v>
      </c>
      <c r="H645" s="104">
        <f>L407</f>
        <v>20292.739999999998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185901.55</v>
      </c>
      <c r="H646" s="104">
        <f>L207+L225+L243</f>
        <v>185901.55000000002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94395.63</v>
      </c>
      <c r="H647" s="104">
        <f>(J256+J337)-(J254+J335)</f>
        <v>94395.63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103979.83000000002</v>
      </c>
      <c r="H648" s="104">
        <f>H597</f>
        <v>103979.83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81921.72</v>
      </c>
      <c r="H650" s="104">
        <f>J597</f>
        <v>81921.72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9000</v>
      </c>
      <c r="H651" s="104">
        <f>K262+K344</f>
        <v>9000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1454719.9599999997</v>
      </c>
      <c r="G659" s="19">
        <f>(L228+L308+L358)</f>
        <v>0</v>
      </c>
      <c r="H659" s="19">
        <f>(L246+L327+L359)</f>
        <v>699228.3899999999</v>
      </c>
      <c r="I659" s="19">
        <f>SUM(F659:H659)</f>
        <v>2153948.3499999996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12878.72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12878.72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55552.10000000002</v>
      </c>
      <c r="G661" s="19">
        <f>(L225+L305)-(J225+J305)</f>
        <v>0</v>
      </c>
      <c r="H661" s="19">
        <f>(L243+L324)-(J243+J324)</f>
        <v>60923.22</v>
      </c>
      <c r="I661" s="19">
        <f>SUM(F661:H661)</f>
        <v>116475.32000000002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138177.57</v>
      </c>
      <c r="G662" s="199">
        <f>SUM(G574:G586)+SUM(I601:I603)+L611</f>
        <v>0</v>
      </c>
      <c r="H662" s="199">
        <f>SUM(H574:H586)+SUM(J601:J603)+L612</f>
        <v>600750.98</v>
      </c>
      <c r="I662" s="19">
        <f>SUM(F662:H662)</f>
        <v>738928.55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1248111.5699999998</v>
      </c>
      <c r="G663" s="19">
        <f>G659-SUM(G660:G662)</f>
        <v>0</v>
      </c>
      <c r="H663" s="19">
        <f>H659-SUM(H660:H662)</f>
        <v>37554.189999999944</v>
      </c>
      <c r="I663" s="19">
        <f>I659-SUM(I660:I662)</f>
        <v>1285665.7599999995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77.95</v>
      </c>
      <c r="G664" s="248">
        <v>0</v>
      </c>
      <c r="H664" s="248">
        <v>0</v>
      </c>
      <c r="I664" s="19">
        <f>SUM(F664:H664)</f>
        <v>77.95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16011.69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16493.47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-37554.19</v>
      </c>
      <c r="I668" s="19">
        <f>SUM(F668:H668)</f>
        <v>-37554.19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16011.69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16011.69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95" zoomScaleNormal="195" workbookViewId="0">
      <selection activeCell="B25" sqref="B25:C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Stewartstown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241967.42</v>
      </c>
      <c r="C9" s="229">
        <f>'DOE25'!G196+'DOE25'!G214+'DOE25'!G232+'DOE25'!G275+'DOE25'!G294+'DOE25'!G313</f>
        <v>123002.22</v>
      </c>
    </row>
    <row r="10" spans="1:3" x14ac:dyDescent="0.2">
      <c r="A10" t="s">
        <v>779</v>
      </c>
      <c r="B10" s="240">
        <f>200200+19253.35</f>
        <v>219453.35</v>
      </c>
      <c r="C10" s="240">
        <v>125021.46</v>
      </c>
    </row>
    <row r="11" spans="1:3" x14ac:dyDescent="0.2">
      <c r="A11" t="s">
        <v>780</v>
      </c>
      <c r="B11" s="240">
        <f>15204.07</f>
        <v>15204.07</v>
      </c>
      <c r="C11" s="240">
        <v>1167.9000000000001</v>
      </c>
    </row>
    <row r="12" spans="1:3" x14ac:dyDescent="0.2">
      <c r="A12" t="s">
        <v>781</v>
      </c>
      <c r="B12" s="240">
        <f>7310</f>
        <v>7310</v>
      </c>
      <c r="C12" s="240">
        <v>561.74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241967.42</v>
      </c>
      <c r="C13" s="231">
        <f>SUM(C10:C12)</f>
        <v>126751.1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151063.22</v>
      </c>
      <c r="C18" s="229">
        <f>'DOE25'!G197+'DOE25'!G215+'DOE25'!G233+'DOE25'!G276+'DOE25'!G295+'DOE25'!G314</f>
        <v>53109.560000000005</v>
      </c>
    </row>
    <row r="19" spans="1:3" x14ac:dyDescent="0.2">
      <c r="A19" t="s">
        <v>779</v>
      </c>
      <c r="B19" s="240">
        <f>44950+52056.72</f>
        <v>97006.720000000001</v>
      </c>
      <c r="C19" s="240">
        <v>48958.06</v>
      </c>
    </row>
    <row r="20" spans="1:3" x14ac:dyDescent="0.2">
      <c r="A20" t="s">
        <v>780</v>
      </c>
      <c r="B20" s="240">
        <f>39888.5+14168</f>
        <v>54056.5</v>
      </c>
      <c r="C20" s="240">
        <v>4151.5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151063.22</v>
      </c>
      <c r="C22" s="231">
        <f>SUM(C19:C21)</f>
        <v>53109.56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9820.93</v>
      </c>
      <c r="C36" s="235">
        <f>'DOE25'!G199+'DOE25'!G217+'DOE25'!G235+'DOE25'!G278+'DOE25'!G297+'DOE25'!G316</f>
        <v>1534.5900000000001</v>
      </c>
    </row>
    <row r="37" spans="1:3" x14ac:dyDescent="0.2">
      <c r="A37" t="s">
        <v>779</v>
      </c>
      <c r="B37" s="240">
        <f>8043.75</f>
        <v>8043.75</v>
      </c>
      <c r="C37" s="240">
        <v>1398.09</v>
      </c>
    </row>
    <row r="38" spans="1:3" x14ac:dyDescent="0.2">
      <c r="A38" t="s">
        <v>780</v>
      </c>
      <c r="B38" s="240">
        <v>1777.18</v>
      </c>
      <c r="C38" s="240">
        <v>136.5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9820.93</v>
      </c>
      <c r="C40" s="231">
        <f>SUM(C37:C39)</f>
        <v>1534.59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28" sqref="E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Stewartstown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1157017.7799999998</v>
      </c>
      <c r="D5" s="20">
        <f>SUM('DOE25'!L196:L199)+SUM('DOE25'!L214:L217)+SUM('DOE25'!L232:L235)-F5-G5</f>
        <v>1154130.5299999998</v>
      </c>
      <c r="E5" s="243"/>
      <c r="F5" s="255">
        <f>SUM('DOE25'!J196:J199)+SUM('DOE25'!J214:J217)+SUM('DOE25'!J232:J235)</f>
        <v>2681.25</v>
      </c>
      <c r="G5" s="53">
        <f>SUM('DOE25'!K196:K199)+SUM('DOE25'!K214:K217)+SUM('DOE25'!K232:K235)</f>
        <v>206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174425.24999999997</v>
      </c>
      <c r="D6" s="20">
        <f>'DOE25'!L201+'DOE25'!L219+'DOE25'!L237-F6-G6</f>
        <v>171997.50999999998</v>
      </c>
      <c r="E6" s="243"/>
      <c r="F6" s="255">
        <f>'DOE25'!J201+'DOE25'!J219+'DOE25'!J237</f>
        <v>1830.3</v>
      </c>
      <c r="G6" s="53">
        <f>'DOE25'!K201+'DOE25'!K219+'DOE25'!K237</f>
        <v>597.44000000000005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30877.079999999998</v>
      </c>
      <c r="D7" s="20">
        <f>'DOE25'!L202+'DOE25'!L220+'DOE25'!L238-F7-G7</f>
        <v>29173.64</v>
      </c>
      <c r="E7" s="243"/>
      <c r="F7" s="255">
        <f>'DOE25'!J202+'DOE25'!J220+'DOE25'!J238</f>
        <v>149.44</v>
      </c>
      <c r="G7" s="53">
        <f>'DOE25'!K202+'DOE25'!K220+'DOE25'!K238</f>
        <v>1554</v>
      </c>
      <c r="H7" s="259"/>
    </row>
    <row r="8" spans="1:9" x14ac:dyDescent="0.2">
      <c r="A8" s="32">
        <v>2300</v>
      </c>
      <c r="B8" t="s">
        <v>802</v>
      </c>
      <c r="C8" s="245">
        <f t="shared" si="0"/>
        <v>57675.400000000009</v>
      </c>
      <c r="D8" s="243"/>
      <c r="E8" s="20">
        <f>'DOE25'!L203+'DOE25'!L221+'DOE25'!L239-F8-G8-D9-D11</f>
        <v>54860.590000000011</v>
      </c>
      <c r="F8" s="255">
        <f>'DOE25'!J203+'DOE25'!J221+'DOE25'!J239</f>
        <v>0</v>
      </c>
      <c r="G8" s="53">
        <f>'DOE25'!K203+'DOE25'!K221+'DOE25'!K239</f>
        <v>2814.81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24513.759999999998</v>
      </c>
      <c r="D9" s="244">
        <v>24513.759999999998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6700</v>
      </c>
      <c r="D10" s="243"/>
      <c r="E10" s="244">
        <v>6700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25672</v>
      </c>
      <c r="D11" s="244">
        <v>25672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120235.98999999999</v>
      </c>
      <c r="D12" s="20">
        <f>'DOE25'!L204+'DOE25'!L222+'DOE25'!L240-F12-G12</f>
        <v>116600.57999999999</v>
      </c>
      <c r="E12" s="243"/>
      <c r="F12" s="255">
        <f>'DOE25'!J204+'DOE25'!J222+'DOE25'!J240</f>
        <v>1085.57</v>
      </c>
      <c r="G12" s="53">
        <f>'DOE25'!K204+'DOE25'!K222+'DOE25'!K240</f>
        <v>2549.84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114664.49999999999</v>
      </c>
      <c r="D14" s="20">
        <f>'DOE25'!L206+'DOE25'!L224+'DOE25'!L242-F14-G14</f>
        <v>112276.57999999999</v>
      </c>
      <c r="E14" s="243"/>
      <c r="F14" s="255">
        <f>'DOE25'!J206+'DOE25'!J224+'DOE25'!J242</f>
        <v>1040.92</v>
      </c>
      <c r="G14" s="53">
        <f>'DOE25'!K206+'DOE25'!K224+'DOE25'!K242</f>
        <v>1347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185901.55000000002</v>
      </c>
      <c r="D15" s="20">
        <f>'DOE25'!L207+'DOE25'!L225+'DOE25'!L243-F15-G15</f>
        <v>114954.95000000001</v>
      </c>
      <c r="E15" s="243"/>
      <c r="F15" s="255">
        <f>'DOE25'!J207+'DOE25'!J225+'DOE25'!J243</f>
        <v>69995</v>
      </c>
      <c r="G15" s="53">
        <f>'DOE25'!K207+'DOE25'!K225+'DOE25'!K243</f>
        <v>951.6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57840</v>
      </c>
      <c r="D25" s="243"/>
      <c r="E25" s="243"/>
      <c r="F25" s="258"/>
      <c r="G25" s="256"/>
      <c r="H25" s="257">
        <f>'DOE25'!L259+'DOE25'!L260+'DOE25'!L340+'DOE25'!L341</f>
        <v>57840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58589.719999999994</v>
      </c>
      <c r="D29" s="20">
        <f>'DOE25'!L357+'DOE25'!L358+'DOE25'!L359-'DOE25'!I366-F29-G29</f>
        <v>58589.719999999994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203670.13999999998</v>
      </c>
      <c r="D31" s="20">
        <f>'DOE25'!L289+'DOE25'!L308+'DOE25'!L327+'DOE25'!L332+'DOE25'!L333+'DOE25'!L334-F31-G31</f>
        <v>183076.99</v>
      </c>
      <c r="E31" s="243"/>
      <c r="F31" s="255">
        <f>'DOE25'!J289+'DOE25'!J308+'DOE25'!J327+'DOE25'!J332+'DOE25'!J333+'DOE25'!J334</f>
        <v>17613.150000000001</v>
      </c>
      <c r="G31" s="53">
        <f>'DOE25'!K289+'DOE25'!K308+'DOE25'!K327+'DOE25'!K332+'DOE25'!K333+'DOE25'!K334</f>
        <v>2980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1990986.2599999998</v>
      </c>
      <c r="E33" s="246">
        <f>SUM(E5:E31)</f>
        <v>61560.590000000011</v>
      </c>
      <c r="F33" s="246">
        <f>SUM(F5:F31)</f>
        <v>94395.63</v>
      </c>
      <c r="G33" s="246">
        <f>SUM(G5:G31)</f>
        <v>13000.69</v>
      </c>
      <c r="H33" s="246">
        <f>SUM(H5:H31)</f>
        <v>57840</v>
      </c>
    </row>
    <row r="35" spans="2:8" ht="12" thickBot="1" x14ac:dyDescent="0.25">
      <c r="B35" s="253" t="s">
        <v>847</v>
      </c>
      <c r="D35" s="254">
        <f>E33</f>
        <v>61560.590000000011</v>
      </c>
      <c r="E35" s="249"/>
    </row>
    <row r="36" spans="2:8" ht="12" thickTop="1" x14ac:dyDescent="0.2">
      <c r="B36" t="s">
        <v>815</v>
      </c>
      <c r="D36" s="20">
        <f>D33</f>
        <v>1990986.2599999998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171374.85</v>
      </c>
      <c r="D8" s="95">
        <f>'DOE25'!G9</f>
        <v>1995.32</v>
      </c>
      <c r="E8" s="95">
        <f>'DOE25'!H9</f>
        <v>0</v>
      </c>
      <c r="F8" s="95">
        <f>'DOE25'!I9</f>
        <v>0</v>
      </c>
      <c r="G8" s="95">
        <f>'DOE25'!J9</f>
        <v>164474.67000000001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60583.59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2532.6</v>
      </c>
      <c r="D12" s="95">
        <f>'DOE25'!G13</f>
        <v>6411.92</v>
      </c>
      <c r="E12" s="95">
        <f>'DOE25'!H13</f>
        <v>63139.16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2728.96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234491.04</v>
      </c>
      <c r="D18" s="41">
        <f>SUM(D8:D17)</f>
        <v>11136.2</v>
      </c>
      <c r="E18" s="41">
        <f>SUM(E8:E17)</f>
        <v>63139.16</v>
      </c>
      <c r="F18" s="41">
        <f>SUM(F8:F17)</f>
        <v>0</v>
      </c>
      <c r="G18" s="41">
        <f>SUM(G8:G17)</f>
        <v>164474.67000000001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278.7</v>
      </c>
      <c r="E21" s="95">
        <f>'DOE25'!H22</f>
        <v>60304.890000000007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 t="str">
        <f>'DOE25'!F23</f>
        <v xml:space="preserve"> 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30635.97</v>
      </c>
      <c r="D23" s="95">
        <f>'DOE25'!G24</f>
        <v>375.56</v>
      </c>
      <c r="E23" s="95">
        <f>'DOE25'!H24</f>
        <v>0</v>
      </c>
      <c r="F23" s="95">
        <f>'DOE25'!I24</f>
        <v>0</v>
      </c>
      <c r="G23" s="95">
        <f>'DOE25'!J24</f>
        <v>50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3642.95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1760.47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2834.27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36039.39</v>
      </c>
      <c r="D31" s="41">
        <f>SUM(D21:D30)</f>
        <v>654.26</v>
      </c>
      <c r="E31" s="41">
        <f>SUM(E21:E30)</f>
        <v>63139.16</v>
      </c>
      <c r="F31" s="41">
        <f>SUM(F21:F30)</f>
        <v>0</v>
      </c>
      <c r="G31" s="41">
        <f>SUM(G21:G30)</f>
        <v>50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2728.96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7752.9799999999959</v>
      </c>
      <c r="E46" s="95">
        <f>'DOE25'!H47</f>
        <v>0</v>
      </c>
      <c r="F46" s="95">
        <f>'DOE25'!I47</f>
        <v>0</v>
      </c>
      <c r="G46" s="95">
        <f>'DOE25'!J47</f>
        <v>164424.67000000001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198451.65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198451.65</v>
      </c>
      <c r="D49" s="41">
        <f>SUM(D34:D48)</f>
        <v>10481.939999999995</v>
      </c>
      <c r="E49" s="41">
        <f>SUM(E34:E48)</f>
        <v>0</v>
      </c>
      <c r="F49" s="41">
        <f>SUM(F34:F48)</f>
        <v>0</v>
      </c>
      <c r="G49" s="41">
        <f>SUM(G34:G48)</f>
        <v>164424.67000000001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234491.03999999998</v>
      </c>
      <c r="D50" s="41">
        <f>D49+D31</f>
        <v>11136.199999999995</v>
      </c>
      <c r="E50" s="41">
        <f>E49+E31</f>
        <v>63139.16</v>
      </c>
      <c r="F50" s="41">
        <f>F49+F31</f>
        <v>0</v>
      </c>
      <c r="G50" s="41">
        <f>G49+G31</f>
        <v>164474.67000000001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1215541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158.32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292.74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12878.72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34431.31</v>
      </c>
      <c r="D60" s="95">
        <f>SUM('DOE25'!G97:G109)</f>
        <v>0</v>
      </c>
      <c r="E60" s="95">
        <f>SUM('DOE25'!H97:H109)</f>
        <v>2051.5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34589.629999999997</v>
      </c>
      <c r="D61" s="130">
        <f>SUM(D56:D60)</f>
        <v>12878.72</v>
      </c>
      <c r="E61" s="130">
        <f>SUM(E56:E60)</f>
        <v>2051.5</v>
      </c>
      <c r="F61" s="130">
        <f>SUM(F56:F60)</f>
        <v>0</v>
      </c>
      <c r="G61" s="130">
        <f>SUM(G56:G60)</f>
        <v>292.74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1250130.6299999999</v>
      </c>
      <c r="D62" s="22">
        <f>D55+D61</f>
        <v>12878.72</v>
      </c>
      <c r="E62" s="22">
        <f>E55+E61</f>
        <v>2051.5</v>
      </c>
      <c r="F62" s="22">
        <f>F55+F61</f>
        <v>0</v>
      </c>
      <c r="G62" s="22">
        <f>G55+G61</f>
        <v>292.74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550121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199577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749698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14086.25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46607.42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261.14999999999998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60693.67</v>
      </c>
      <c r="D77" s="130">
        <f>SUM(D71:D76)</f>
        <v>261.14999999999998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810391.67</v>
      </c>
      <c r="D80" s="130">
        <f>SUM(D78:D79)+D77+D69</f>
        <v>261.14999999999998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4228.82</v>
      </c>
      <c r="D87" s="95">
        <f>SUM('DOE25'!G152:G160)</f>
        <v>35851.620000000003</v>
      </c>
      <c r="E87" s="95">
        <f>SUM('DOE25'!H152:H160)</f>
        <v>201618.63999999998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4228.82</v>
      </c>
      <c r="D90" s="131">
        <f>SUM(D84:D89)</f>
        <v>35851.620000000003</v>
      </c>
      <c r="E90" s="131">
        <f>SUM(E84:E89)</f>
        <v>201618.63999999998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9000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69995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69995</v>
      </c>
      <c r="D102" s="86">
        <f>SUM(D92:D101)</f>
        <v>9000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2134746.12</v>
      </c>
      <c r="D103" s="86">
        <f>D62+D80+D90+D102</f>
        <v>57991.490000000005</v>
      </c>
      <c r="E103" s="86">
        <f>E62+E80+E90+E102</f>
        <v>203670.13999999998</v>
      </c>
      <c r="F103" s="86">
        <f>F62+F80+F90+F102</f>
        <v>0</v>
      </c>
      <c r="G103" s="86">
        <f>G62+G80+G102</f>
        <v>20292.740000000002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893186.04999999993</v>
      </c>
      <c r="D108" s="24" t="s">
        <v>289</v>
      </c>
      <c r="E108" s="95">
        <f>('DOE25'!L275)+('DOE25'!L294)+('DOE25'!L313)</f>
        <v>3806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263831.73</v>
      </c>
      <c r="D109" s="24" t="s">
        <v>289</v>
      </c>
      <c r="E109" s="95">
        <f>('DOE25'!L276)+('DOE25'!L295)+('DOE25'!L314)</f>
        <v>117435.45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11355.52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1157017.7799999998</v>
      </c>
      <c r="D114" s="86">
        <f>SUM(D108:D113)</f>
        <v>0</v>
      </c>
      <c r="E114" s="86">
        <f>SUM(E108:E113)</f>
        <v>132596.97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174425.24999999997</v>
      </c>
      <c r="D117" s="24" t="s">
        <v>289</v>
      </c>
      <c r="E117" s="95">
        <f>+('DOE25'!L280)+('DOE25'!L299)+('DOE25'!L318)</f>
        <v>5606.7699999999995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30877.079999999998</v>
      </c>
      <c r="D118" s="24" t="s">
        <v>289</v>
      </c>
      <c r="E118" s="95">
        <f>+('DOE25'!L281)+('DOE25'!L300)+('DOE25'!L319)</f>
        <v>54071.03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107861.16</v>
      </c>
      <c r="D119" s="24" t="s">
        <v>289</v>
      </c>
      <c r="E119" s="95">
        <f>+('DOE25'!L282)+('DOE25'!L301)+('DOE25'!L320)</f>
        <v>8326.6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120235.98999999999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2500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114664.49999999999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185901.55000000002</v>
      </c>
      <c r="D123" s="24" t="s">
        <v>289</v>
      </c>
      <c r="E123" s="95">
        <f>+('DOE25'!L286)+('DOE25'!L305)+('DOE25'!L324)</f>
        <v>568.77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59294.899999999994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733965.53</v>
      </c>
      <c r="D127" s="86">
        <f>SUM(D117:D126)</f>
        <v>59294.899999999994</v>
      </c>
      <c r="E127" s="86">
        <f>SUM(E117:E126)</f>
        <v>71073.17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12840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70095</v>
      </c>
    </row>
    <row r="134" spans="1:7" x14ac:dyDescent="0.2">
      <c r="A134" t="s">
        <v>233</v>
      </c>
      <c r="B134" s="32" t="s">
        <v>234</v>
      </c>
      <c r="C134" s="95">
        <f>'DOE25'!L262</f>
        <v>9000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32.28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20260.46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-292.73999999999796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86840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70095</v>
      </c>
    </row>
    <row r="144" spans="1:7" ht="12.75" thickTop="1" thickBot="1" x14ac:dyDescent="0.25">
      <c r="A144" s="33" t="s">
        <v>244</v>
      </c>
      <c r="C144" s="86">
        <f>(C114+C127+C143)</f>
        <v>1977823.3099999998</v>
      </c>
      <c r="D144" s="86">
        <f>(D114+D127+D143)</f>
        <v>59294.899999999994</v>
      </c>
      <c r="E144" s="86">
        <f>(E114+E127+E143)</f>
        <v>203670.14</v>
      </c>
      <c r="F144" s="86">
        <f>(F114+F127+F143)</f>
        <v>0</v>
      </c>
      <c r="G144" s="86">
        <f>(G114+G127+G143)</f>
        <v>70095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8/1997</v>
      </c>
      <c r="C151" s="152" t="str">
        <f>'DOE25'!G490</f>
        <v>8/1997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08/2017</v>
      </c>
      <c r="C152" s="152" t="str">
        <f>'DOE25'!G491</f>
        <v>08/2017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249438</v>
      </c>
      <c r="C153" s="137">
        <f>'DOE25'!G492</f>
        <v>748312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5.01</v>
      </c>
      <c r="C154" s="137">
        <f>'DOE25'!G493</f>
        <v>4.9800000000000004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245000</v>
      </c>
      <c r="C155" s="137">
        <f>'DOE25'!G494</f>
        <v>60000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305000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35000</v>
      </c>
      <c r="C157" s="137">
        <f>'DOE25'!G496</f>
        <v>10000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45000</v>
      </c>
    </row>
    <row r="158" spans="1:9" x14ac:dyDescent="0.2">
      <c r="A158" s="22" t="s">
        <v>35</v>
      </c>
      <c r="B158" s="137">
        <f>'DOE25'!F497</f>
        <v>210000</v>
      </c>
      <c r="C158" s="137">
        <f>'DOE25'!G497</f>
        <v>50000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260000</v>
      </c>
    </row>
    <row r="159" spans="1:9" x14ac:dyDescent="0.2">
      <c r="A159" s="22" t="s">
        <v>36</v>
      </c>
      <c r="B159" s="137">
        <f>'DOE25'!F498</f>
        <v>32690</v>
      </c>
      <c r="C159" s="137">
        <f>'DOE25'!G498</f>
        <v>9475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42165</v>
      </c>
    </row>
    <row r="160" spans="1:9" x14ac:dyDescent="0.2">
      <c r="A160" s="22" t="s">
        <v>37</v>
      </c>
      <c r="B160" s="137">
        <f>'DOE25'!F499</f>
        <v>242690</v>
      </c>
      <c r="C160" s="137">
        <f>'DOE25'!G499</f>
        <v>59475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302165</v>
      </c>
    </row>
    <row r="161" spans="1:7" x14ac:dyDescent="0.2">
      <c r="A161" s="22" t="s">
        <v>38</v>
      </c>
      <c r="B161" s="137">
        <f>'DOE25'!F500</f>
        <v>35000</v>
      </c>
      <c r="C161" s="137">
        <f>'DOE25'!G500</f>
        <v>10000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45000</v>
      </c>
    </row>
    <row r="162" spans="1:7" x14ac:dyDescent="0.2">
      <c r="A162" s="22" t="s">
        <v>39</v>
      </c>
      <c r="B162" s="137">
        <f>'DOE25'!F501</f>
        <v>8172.5</v>
      </c>
      <c r="C162" s="137">
        <f>'DOE25'!G501</f>
        <v>2365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10537.5</v>
      </c>
    </row>
    <row r="163" spans="1:7" x14ac:dyDescent="0.2">
      <c r="A163" s="22" t="s">
        <v>246</v>
      </c>
      <c r="B163" s="137">
        <f>'DOE25'!F502</f>
        <v>43172.5</v>
      </c>
      <c r="C163" s="137">
        <f>'DOE25'!G502</f>
        <v>12365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55537.5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Stewartstown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16012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16012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896992</v>
      </c>
      <c r="D10" s="182">
        <f>ROUND((C10/$C$28)*100,1)</f>
        <v>41.6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381267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11356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180032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84948</v>
      </c>
      <c r="D16" s="182">
        <f t="shared" si="0"/>
        <v>3.9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116188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120236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2500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114665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186470</v>
      </c>
      <c r="D21" s="182">
        <f t="shared" si="0"/>
        <v>8.6999999999999993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12840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46416.28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2153910.2799999998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2153910.2799999998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1215541</v>
      </c>
      <c r="D35" s="182">
        <f t="shared" ref="D35:D40" si="1">ROUND((C35/$C$41)*100,1)</f>
        <v>52.7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36933.869999999879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749698</v>
      </c>
      <c r="D37" s="182">
        <f t="shared" si="1"/>
        <v>32.5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60955</v>
      </c>
      <c r="D38" s="182">
        <f t="shared" si="1"/>
        <v>2.6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241699</v>
      </c>
      <c r="D39" s="182">
        <f t="shared" si="1"/>
        <v>10.5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2304826.87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40" sqref="C40:M4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Stewartstown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2013-10-11T14:31:42Z</cp:lastPrinted>
  <dcterms:created xsi:type="dcterms:W3CDTF">1997-12-04T19:04:30Z</dcterms:created>
  <dcterms:modified xsi:type="dcterms:W3CDTF">2013-11-14T17:19:20Z</dcterms:modified>
</cp:coreProperties>
</file>