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7" i="1" l="1"/>
  <c r="H206" i="1" l="1"/>
  <c r="H525" i="1"/>
  <c r="C10" i="12"/>
  <c r="G196" i="1"/>
  <c r="H237" i="1"/>
  <c r="H243" i="1"/>
  <c r="H207" i="1"/>
  <c r="G157" i="1"/>
  <c r="C38" i="12"/>
  <c r="C37" i="12"/>
  <c r="B39" i="12"/>
  <c r="B38" i="12"/>
  <c r="B37" i="12"/>
  <c r="C20" i="12"/>
  <c r="C19" i="12"/>
  <c r="C21" i="12"/>
  <c r="B19" i="12"/>
  <c r="B21" i="12"/>
  <c r="C12" i="12"/>
  <c r="B12" i="12"/>
  <c r="H591" i="1"/>
  <c r="H590" i="1"/>
  <c r="I357" i="1"/>
  <c r="G610" i="1"/>
  <c r="F610" i="1"/>
  <c r="H540" i="1"/>
  <c r="H542" i="1"/>
  <c r="H522" i="1"/>
  <c r="J520" i="1"/>
  <c r="I520" i="1"/>
  <c r="H520" i="1"/>
  <c r="G520" i="1"/>
  <c r="F520" i="1"/>
  <c r="F501" i="1"/>
  <c r="H357" i="1"/>
  <c r="G357" i="1"/>
  <c r="F357" i="1"/>
  <c r="H232" i="1"/>
  <c r="G96" i="1"/>
  <c r="F29" i="1"/>
  <c r="G438" i="1"/>
  <c r="F9" i="1"/>
  <c r="G206" i="1"/>
  <c r="J206" i="1"/>
  <c r="I206" i="1"/>
  <c r="F206" i="1"/>
  <c r="K204" i="1"/>
  <c r="I204" i="1"/>
  <c r="H204" i="1"/>
  <c r="G204" i="1"/>
  <c r="F204" i="1"/>
  <c r="G202" i="1"/>
  <c r="J202" i="1"/>
  <c r="I202" i="1"/>
  <c r="H202" i="1"/>
  <c r="F202" i="1"/>
  <c r="I201" i="1"/>
  <c r="H201" i="1"/>
  <c r="G201" i="1"/>
  <c r="F201" i="1"/>
  <c r="I199" i="1"/>
  <c r="G199" i="1"/>
  <c r="F199" i="1"/>
  <c r="H199" i="1"/>
  <c r="H233" i="1"/>
  <c r="H197" i="1"/>
  <c r="F197" i="1"/>
  <c r="G197" i="1"/>
  <c r="I197" i="1"/>
  <c r="J197" i="1"/>
  <c r="I196" i="1"/>
  <c r="J196" i="1"/>
  <c r="H196" i="1"/>
  <c r="F196" i="1"/>
  <c r="C37" i="10"/>
  <c r="F40" i="2"/>
  <c r="D39" i="2"/>
  <c r="G654" i="1"/>
  <c r="F47" i="2"/>
  <c r="E47" i="2"/>
  <c r="D47" i="2"/>
  <c r="C47" i="2"/>
  <c r="F46" i="2"/>
  <c r="F49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D5" i="13"/>
  <c r="C5" i="13"/>
  <c r="L196" i="1"/>
  <c r="C10" i="10"/>
  <c r="L197" i="1"/>
  <c r="L198" i="1"/>
  <c r="C110" i="2"/>
  <c r="L199" i="1"/>
  <c r="L214" i="1"/>
  <c r="L215" i="1"/>
  <c r="L216" i="1"/>
  <c r="L228" i="1"/>
  <c r="L217" i="1"/>
  <c r="C111" i="2"/>
  <c r="L232" i="1"/>
  <c r="L233" i="1"/>
  <c r="L234" i="1"/>
  <c r="L235" i="1"/>
  <c r="F6" i="13"/>
  <c r="G6" i="13"/>
  <c r="L201" i="1"/>
  <c r="D6" i="13"/>
  <c r="C6" i="13"/>
  <c r="L219" i="1"/>
  <c r="L237" i="1"/>
  <c r="C117" i="2"/>
  <c r="F7" i="13"/>
  <c r="G7" i="13"/>
  <c r="L202" i="1"/>
  <c r="C16" i="10"/>
  <c r="L220" i="1"/>
  <c r="L238" i="1"/>
  <c r="F12" i="13"/>
  <c r="G12" i="13"/>
  <c r="L204" i="1"/>
  <c r="C18" i="10"/>
  <c r="L222" i="1"/>
  <c r="L240" i="1"/>
  <c r="F14" i="13"/>
  <c r="G14" i="13"/>
  <c r="L206" i="1"/>
  <c r="L224" i="1"/>
  <c r="D14" i="13"/>
  <c r="C14" i="13"/>
  <c r="L242" i="1"/>
  <c r="F15" i="13"/>
  <c r="G15" i="13"/>
  <c r="L207" i="1"/>
  <c r="C123" i="2"/>
  <c r="L225" i="1"/>
  <c r="L243" i="1"/>
  <c r="H661" i="1"/>
  <c r="F17" i="13"/>
  <c r="G17" i="13"/>
  <c r="L250" i="1"/>
  <c r="D17" i="13"/>
  <c r="C17" i="13"/>
  <c r="F18" i="13"/>
  <c r="G18" i="13"/>
  <c r="L251" i="1"/>
  <c r="D18" i="13"/>
  <c r="C18" i="13"/>
  <c r="F19" i="13"/>
  <c r="G19" i="13"/>
  <c r="L252" i="1"/>
  <c r="F29" i="13"/>
  <c r="G29" i="13"/>
  <c r="L357" i="1"/>
  <c r="F660" i="1"/>
  <c r="L358" i="1"/>
  <c r="L359" i="1"/>
  <c r="I366" i="1"/>
  <c r="J289" i="1"/>
  <c r="J308" i="1"/>
  <c r="J327" i="1"/>
  <c r="K289" i="1"/>
  <c r="K308" i="1"/>
  <c r="K327" i="1"/>
  <c r="L275" i="1"/>
  <c r="L289" i="1"/>
  <c r="L276" i="1"/>
  <c r="L277" i="1"/>
  <c r="L278" i="1"/>
  <c r="L280" i="1"/>
  <c r="L281" i="1"/>
  <c r="E118" i="2"/>
  <c r="L282" i="1"/>
  <c r="E119" i="2"/>
  <c r="L283" i="1"/>
  <c r="L284" i="1"/>
  <c r="L285" i="1"/>
  <c r="L286" i="1"/>
  <c r="L287" i="1"/>
  <c r="L294" i="1"/>
  <c r="L308" i="1"/>
  <c r="L295" i="1"/>
  <c r="E109" i="2"/>
  <c r="L296" i="1"/>
  <c r="C12" i="10"/>
  <c r="L297" i="1"/>
  <c r="L299" i="1"/>
  <c r="L300" i="1"/>
  <c r="L301" i="1"/>
  <c r="L302" i="1"/>
  <c r="L303" i="1"/>
  <c r="L304" i="1"/>
  <c r="E122" i="2"/>
  <c r="L305" i="1"/>
  <c r="E123" i="2"/>
  <c r="L306" i="1"/>
  <c r="L313" i="1"/>
  <c r="L314" i="1"/>
  <c r="L315" i="1"/>
  <c r="L316" i="1"/>
  <c r="L318" i="1"/>
  <c r="L319" i="1"/>
  <c r="L327" i="1"/>
  <c r="L320" i="1"/>
  <c r="L321" i="1"/>
  <c r="L322" i="1"/>
  <c r="L323" i="1"/>
  <c r="L324" i="1"/>
  <c r="L325" i="1"/>
  <c r="L332" i="1"/>
  <c r="L333" i="1"/>
  <c r="E113" i="2"/>
  <c r="L334" i="1"/>
  <c r="L259" i="1"/>
  <c r="L260" i="1"/>
  <c r="C131" i="2"/>
  <c r="L340" i="1"/>
  <c r="L341" i="1"/>
  <c r="E131" i="2"/>
  <c r="L254" i="1"/>
  <c r="L335" i="1"/>
  <c r="E129" i="2"/>
  <c r="C11" i="13"/>
  <c r="C10" i="13"/>
  <c r="C9" i="13"/>
  <c r="L360" i="1"/>
  <c r="B4" i="12"/>
  <c r="B36" i="12"/>
  <c r="C36" i="12"/>
  <c r="B40" i="12"/>
  <c r="C40" i="12"/>
  <c r="B27" i="12"/>
  <c r="A31" i="12"/>
  <c r="C27" i="12"/>
  <c r="B31" i="12"/>
  <c r="C31" i="12"/>
  <c r="B9" i="12"/>
  <c r="B13" i="12"/>
  <c r="C9" i="12"/>
  <c r="A13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400" i="1"/>
  <c r="C138" i="2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/>
  <c r="L611" i="1"/>
  <c r="G662" i="1"/>
  <c r="L610" i="1"/>
  <c r="F662" i="1"/>
  <c r="C40" i="10"/>
  <c r="F59" i="1"/>
  <c r="C55" i="2"/>
  <c r="G59" i="1"/>
  <c r="D55" i="2"/>
  <c r="H59" i="1"/>
  <c r="E55" i="2"/>
  <c r="I59" i="1"/>
  <c r="F78" i="1"/>
  <c r="F93" i="1"/>
  <c r="C57" i="2"/>
  <c r="F110" i="1"/>
  <c r="G110" i="1"/>
  <c r="H78" i="1"/>
  <c r="H93" i="1"/>
  <c r="E57" i="2"/>
  <c r="H110" i="1"/>
  <c r="H111" i="1"/>
  <c r="I110" i="1"/>
  <c r="I111" i="1"/>
  <c r="J110" i="1"/>
  <c r="F120" i="1"/>
  <c r="F135" i="1"/>
  <c r="G120" i="1"/>
  <c r="G135" i="1"/>
  <c r="H120" i="1"/>
  <c r="H139" i="1"/>
  <c r="H135" i="1"/>
  <c r="I120" i="1"/>
  <c r="I135" i="1"/>
  <c r="J120" i="1"/>
  <c r="J135" i="1"/>
  <c r="F146" i="1"/>
  <c r="F161" i="1"/>
  <c r="F168" i="1"/>
  <c r="G146" i="1"/>
  <c r="G161" i="1"/>
  <c r="H146" i="1"/>
  <c r="H161" i="1"/>
  <c r="I146" i="1"/>
  <c r="F84" i="2"/>
  <c r="F90" i="2"/>
  <c r="I161" i="1"/>
  <c r="C13" i="10"/>
  <c r="C15" i="10"/>
  <c r="L249" i="1"/>
  <c r="L331" i="1"/>
  <c r="C23" i="10"/>
  <c r="L253" i="1"/>
  <c r="C25" i="10"/>
  <c r="L267" i="1"/>
  <c r="L268" i="1"/>
  <c r="L348" i="1"/>
  <c r="L349" i="1"/>
  <c r="E142" i="2"/>
  <c r="I664" i="1"/>
  <c r="I669" i="1"/>
  <c r="G661" i="1"/>
  <c r="I668" i="1"/>
  <c r="C42" i="10"/>
  <c r="C32" i="10"/>
  <c r="L373" i="1"/>
  <c r="L374" i="1"/>
  <c r="F129" i="2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F551" i="1"/>
  <c r="L521" i="1"/>
  <c r="F549" i="1"/>
  <c r="L522" i="1"/>
  <c r="F550" i="1"/>
  <c r="L525" i="1"/>
  <c r="G548" i="1"/>
  <c r="L526" i="1"/>
  <c r="G549" i="1"/>
  <c r="G551" i="1"/>
  <c r="L527" i="1"/>
  <c r="G550" i="1"/>
  <c r="K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J551" i="1"/>
  <c r="L542" i="1"/>
  <c r="J550" i="1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E18" i="2"/>
  <c r="F8" i="2"/>
  <c r="I438" i="1"/>
  <c r="J9" i="1"/>
  <c r="G8" i="2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/>
  <c r="G12" i="2"/>
  <c r="C13" i="2"/>
  <c r="D13" i="2"/>
  <c r="E13" i="2"/>
  <c r="F13" i="2"/>
  <c r="I442" i="1"/>
  <c r="J14" i="1"/>
  <c r="G13" i="2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D31" i="2"/>
  <c r="E21" i="2"/>
  <c r="E31" i="2"/>
  <c r="F21" i="2"/>
  <c r="I447" i="1"/>
  <c r="J22" i="1"/>
  <c r="C22" i="2"/>
  <c r="D22" i="2"/>
  <c r="E22" i="2"/>
  <c r="F22" i="2"/>
  <c r="I448" i="1"/>
  <c r="J23" i="1"/>
  <c r="G22" i="2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D49" i="2"/>
  <c r="E34" i="2"/>
  <c r="E49" i="2"/>
  <c r="E50" i="2"/>
  <c r="F34" i="2"/>
  <c r="C35" i="2"/>
  <c r="D35" i="2"/>
  <c r="E35" i="2"/>
  <c r="F35" i="2"/>
  <c r="I453" i="1"/>
  <c r="J48" i="1"/>
  <c r="G47" i="2"/>
  <c r="I455" i="1"/>
  <c r="J43" i="1"/>
  <c r="I456" i="1"/>
  <c r="J37" i="1"/>
  <c r="G36" i="2"/>
  <c r="I458" i="1"/>
  <c r="J47" i="1"/>
  <c r="G46" i="2"/>
  <c r="C48" i="2"/>
  <c r="F55" i="2"/>
  <c r="C56" i="2"/>
  <c r="C61" i="2"/>
  <c r="E56" i="2"/>
  <c r="C58" i="2"/>
  <c r="D58" i="2"/>
  <c r="E58" i="2"/>
  <c r="F58" i="2"/>
  <c r="D59" i="2"/>
  <c r="D61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F77" i="2"/>
  <c r="F80" i="2"/>
  <c r="C73" i="2"/>
  <c r="C77" i="2"/>
  <c r="C80" i="2"/>
  <c r="C74" i="2"/>
  <c r="C75" i="2"/>
  <c r="E75" i="2"/>
  <c r="E77" i="2"/>
  <c r="E80" i="2"/>
  <c r="F75" i="2"/>
  <c r="C76" i="2"/>
  <c r="D76" i="2"/>
  <c r="D77" i="2"/>
  <c r="D80" i="2"/>
  <c r="E76" i="2"/>
  <c r="F76" i="2"/>
  <c r="G76" i="2"/>
  <c r="G77" i="2"/>
  <c r="C78" i="2"/>
  <c r="D78" i="2"/>
  <c r="E78" i="2"/>
  <c r="C79" i="2"/>
  <c r="E79" i="2"/>
  <c r="C84" i="2"/>
  <c r="D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C10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E111" i="2"/>
  <c r="C112" i="2"/>
  <c r="E112" i="2"/>
  <c r="D114" i="2"/>
  <c r="F114" i="2"/>
  <c r="G114" i="2"/>
  <c r="E117" i="2"/>
  <c r="E127" i="2"/>
  <c r="C118" i="2"/>
  <c r="E120" i="2"/>
  <c r="E121" i="2"/>
  <c r="C124" i="2"/>
  <c r="E124" i="2"/>
  <c r="F127" i="2"/>
  <c r="G127" i="2"/>
  <c r="C129" i="2"/>
  <c r="D133" i="2"/>
  <c r="D143" i="2"/>
  <c r="E133" i="2"/>
  <c r="F133" i="2"/>
  <c r="K418" i="1"/>
  <c r="K426" i="1"/>
  <c r="K432" i="1"/>
  <c r="L262" i="1"/>
  <c r="C134" i="2"/>
  <c r="L263" i="1"/>
  <c r="C135" i="2"/>
  <c r="L264" i="1"/>
  <c r="C136" i="2"/>
  <c r="E136" i="2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/>
  <c r="D155" i="2"/>
  <c r="E155" i="2"/>
  <c r="F155" i="2"/>
  <c r="B156" i="2"/>
  <c r="C156" i="2"/>
  <c r="D156" i="2"/>
  <c r="E156" i="2"/>
  <c r="F156" i="2"/>
  <c r="B157" i="2"/>
  <c r="G157" i="2"/>
  <c r="C157" i="2"/>
  <c r="D157" i="2"/>
  <c r="E157" i="2"/>
  <c r="F157" i="2"/>
  <c r="B158" i="2"/>
  <c r="C158" i="2"/>
  <c r="D158" i="2"/>
  <c r="E158" i="2"/>
  <c r="G158" i="2"/>
  <c r="F158" i="2"/>
  <c r="B159" i="2"/>
  <c r="C159" i="2"/>
  <c r="G159" i="2"/>
  <c r="D159" i="2"/>
  <c r="E159" i="2"/>
  <c r="F159" i="2"/>
  <c r="F499" i="1"/>
  <c r="B160" i="2" s="1"/>
  <c r="G160" i="2" s="1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G161" i="2"/>
  <c r="B162" i="2"/>
  <c r="G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G163" i="2"/>
  <c r="J502" i="1"/>
  <c r="F163" i="2"/>
  <c r="F19" i="1"/>
  <c r="G19" i="1"/>
  <c r="H19" i="1"/>
  <c r="G618" i="1"/>
  <c r="I19" i="1"/>
  <c r="F32" i="1"/>
  <c r="G32" i="1"/>
  <c r="H32" i="1"/>
  <c r="I32" i="1"/>
  <c r="F50" i="1"/>
  <c r="G50" i="1"/>
  <c r="G622" i="1"/>
  <c r="H50" i="1"/>
  <c r="I50" i="1"/>
  <c r="F176" i="1"/>
  <c r="I176" i="1"/>
  <c r="F182" i="1"/>
  <c r="G182" i="1"/>
  <c r="H182" i="1"/>
  <c r="H191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L255" i="1"/>
  <c r="J255" i="1"/>
  <c r="K255" i="1"/>
  <c r="F289" i="1"/>
  <c r="G289" i="1"/>
  <c r="H289" i="1"/>
  <c r="I289" i="1"/>
  <c r="F308" i="1"/>
  <c r="G308" i="1"/>
  <c r="G337" i="1"/>
  <c r="G351" i="1"/>
  <c r="H308" i="1"/>
  <c r="I308" i="1"/>
  <c r="F327" i="1"/>
  <c r="G327" i="1"/>
  <c r="H327" i="1"/>
  <c r="I327" i="1"/>
  <c r="F336" i="1"/>
  <c r="G336" i="1"/>
  <c r="H336" i="1"/>
  <c r="H337" i="1"/>
  <c r="H351" i="1"/>
  <c r="I336" i="1"/>
  <c r="J336" i="1"/>
  <c r="K336" i="1"/>
  <c r="F361" i="1"/>
  <c r="G361" i="1"/>
  <c r="H361" i="1"/>
  <c r="I361" i="1"/>
  <c r="G633" i="1"/>
  <c r="J361" i="1"/>
  <c r="K361" i="1"/>
  <c r="I367" i="1"/>
  <c r="F368" i="1"/>
  <c r="G368" i="1"/>
  <c r="H368" i="1"/>
  <c r="I368" i="1"/>
  <c r="L380" i="1"/>
  <c r="L381" i="1"/>
  <c r="G635" i="1"/>
  <c r="J635" i="1"/>
  <c r="F381" i="1"/>
  <c r="G381" i="1"/>
  <c r="H381" i="1"/>
  <c r="I381" i="1"/>
  <c r="J381" i="1"/>
  <c r="K381" i="1"/>
  <c r="F392" i="1"/>
  <c r="F407" i="1"/>
  <c r="H642" i="1"/>
  <c r="J642" i="1"/>
  <c r="G392" i="1"/>
  <c r="H392" i="1"/>
  <c r="I392" i="1"/>
  <c r="F400" i="1"/>
  <c r="G400" i="1"/>
  <c r="H400" i="1"/>
  <c r="I400" i="1"/>
  <c r="I407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L426" i="1"/>
  <c r="F426" i="1"/>
  <c r="G426" i="1"/>
  <c r="H426" i="1"/>
  <c r="I426" i="1"/>
  <c r="J426" i="1"/>
  <c r="L428" i="1"/>
  <c r="L429" i="1"/>
  <c r="L430" i="1"/>
  <c r="L432" i="1"/>
  <c r="L431" i="1"/>
  <c r="F432" i="1"/>
  <c r="G432" i="1"/>
  <c r="H432" i="1"/>
  <c r="I432" i="1"/>
  <c r="J432" i="1"/>
  <c r="F445" i="1"/>
  <c r="G638" i="1"/>
  <c r="G445" i="1"/>
  <c r="G639" i="1"/>
  <c r="H445" i="1"/>
  <c r="F451" i="1"/>
  <c r="G451" i="1"/>
  <c r="H451" i="1"/>
  <c r="F459" i="1"/>
  <c r="F460" i="1"/>
  <c r="H638" i="1"/>
  <c r="J638" i="1"/>
  <c r="G459" i="1"/>
  <c r="G460" i="1"/>
  <c r="H639" i="1"/>
  <c r="H459" i="1"/>
  <c r="H460" i="1"/>
  <c r="H640" i="1"/>
  <c r="F469" i="1"/>
  <c r="G469" i="1"/>
  <c r="G475" i="1"/>
  <c r="H622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G544" i="1"/>
  <c r="H523" i="1"/>
  <c r="I523" i="1"/>
  <c r="I544" i="1"/>
  <c r="J523" i="1"/>
  <c r="K523" i="1"/>
  <c r="K544" i="1"/>
  <c r="F528" i="1"/>
  <c r="G528" i="1"/>
  <c r="H528" i="1"/>
  <c r="I528" i="1"/>
  <c r="J528" i="1"/>
  <c r="J544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9" i="1"/>
  <c r="L557" i="1"/>
  <c r="L558" i="1"/>
  <c r="F559" i="1"/>
  <c r="G559" i="1"/>
  <c r="H559" i="1"/>
  <c r="I559" i="1"/>
  <c r="I570" i="1"/>
  <c r="J559" i="1"/>
  <c r="J570" i="1"/>
  <c r="K559" i="1"/>
  <c r="K570" i="1"/>
  <c r="L561" i="1"/>
  <c r="L562" i="1"/>
  <c r="L563" i="1"/>
  <c r="F564" i="1"/>
  <c r="G564" i="1"/>
  <c r="H564" i="1"/>
  <c r="H570" i="1"/>
  <c r="I564" i="1"/>
  <c r="J564" i="1"/>
  <c r="K564" i="1"/>
  <c r="L566" i="1"/>
  <c r="L569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9" i="1"/>
  <c r="G623" i="1"/>
  <c r="G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40" i="1"/>
  <c r="J640" i="1"/>
  <c r="G642" i="1"/>
  <c r="G643" i="1"/>
  <c r="G644" i="1"/>
  <c r="G649" i="1"/>
  <c r="G650" i="1"/>
  <c r="G651" i="1"/>
  <c r="H651" i="1"/>
  <c r="G652" i="1"/>
  <c r="H652" i="1"/>
  <c r="G653" i="1"/>
  <c r="H653" i="1"/>
  <c r="H654" i="1"/>
  <c r="J654" i="1"/>
  <c r="F31" i="2"/>
  <c r="C69" i="2"/>
  <c r="A40" i="12"/>
  <c r="D7" i="13"/>
  <c r="C7" i="13"/>
  <c r="F102" i="2"/>
  <c r="C90" i="2"/>
  <c r="G80" i="2"/>
  <c r="F61" i="2"/>
  <c r="F62" i="2"/>
  <c r="G156" i="2"/>
  <c r="F18" i="2"/>
  <c r="G102" i="2"/>
  <c r="E102" i="2"/>
  <c r="G61" i="2"/>
  <c r="D19" i="13"/>
  <c r="C19" i="13"/>
  <c r="I168" i="1"/>
  <c r="H168" i="1"/>
  <c r="J475" i="1"/>
  <c r="H625" i="1"/>
  <c r="I475" i="1"/>
  <c r="H624" i="1"/>
  <c r="J624" i="1"/>
  <c r="J139" i="1"/>
  <c r="F570" i="1"/>
  <c r="I551" i="1"/>
  <c r="H25" i="13"/>
  <c r="C25" i="13"/>
  <c r="F337" i="1"/>
  <c r="F351" i="1"/>
  <c r="G191" i="1"/>
  <c r="E16" i="13"/>
  <c r="C16" i="13"/>
  <c r="C49" i="2"/>
  <c r="L564" i="1"/>
  <c r="H33" i="13"/>
  <c r="H551" i="1"/>
  <c r="H544" i="1"/>
  <c r="G256" i="1"/>
  <c r="G270" i="1"/>
  <c r="H646" i="1"/>
  <c r="F661" i="1"/>
  <c r="I661" i="1"/>
  <c r="D15" i="13"/>
  <c r="C15" i="13"/>
  <c r="E13" i="13"/>
  <c r="C13" i="13"/>
  <c r="K256" i="1"/>
  <c r="K270" i="1"/>
  <c r="J256" i="1"/>
  <c r="J270" i="1"/>
  <c r="C119" i="2"/>
  <c r="L246" i="1"/>
  <c r="H659" i="1"/>
  <c r="C121" i="2"/>
  <c r="I256" i="1"/>
  <c r="I270" i="1"/>
  <c r="F256" i="1"/>
  <c r="F270" i="1"/>
  <c r="D90" i="2"/>
  <c r="K604" i="1"/>
  <c r="G647" i="1"/>
  <c r="H256" i="1"/>
  <c r="H270" i="1"/>
  <c r="L269" i="1"/>
  <c r="L350" i="1"/>
  <c r="H475" i="1"/>
  <c r="H623" i="1"/>
  <c r="J623" i="1"/>
  <c r="F475" i="1"/>
  <c r="H621" i="1"/>
  <c r="L418" i="1"/>
  <c r="H407" i="1"/>
  <c r="H643" i="1"/>
  <c r="J643" i="1"/>
  <c r="G407" i="1"/>
  <c r="H644" i="1"/>
  <c r="J644" i="1"/>
  <c r="L392" i="1"/>
  <c r="C137" i="2"/>
  <c r="J633" i="1"/>
  <c r="F22" i="13"/>
  <c r="C22" i="13"/>
  <c r="L336" i="1"/>
  <c r="C29" i="10"/>
  <c r="J622" i="1"/>
  <c r="I51" i="1"/>
  <c r="H619" i="1"/>
  <c r="J619" i="1"/>
  <c r="C31" i="2"/>
  <c r="C50" i="2"/>
  <c r="D18" i="2"/>
  <c r="D62" i="2"/>
  <c r="J639" i="1"/>
  <c r="E61" i="2"/>
  <c r="E62" i="2"/>
  <c r="C62" i="2"/>
  <c r="K549" i="1"/>
  <c r="L528" i="1"/>
  <c r="F51" i="1"/>
  <c r="H616" i="1"/>
  <c r="J616" i="1"/>
  <c r="C17" i="10"/>
  <c r="J111" i="1"/>
  <c r="J192" i="1"/>
  <c r="G645" i="1"/>
  <c r="L361" i="1"/>
  <c r="C27" i="10"/>
  <c r="K548" i="1"/>
  <c r="F111" i="1"/>
  <c r="D29" i="13"/>
  <c r="C29" i="13"/>
  <c r="D12" i="13"/>
  <c r="C12" i="13"/>
  <c r="C26" i="10"/>
  <c r="G648" i="1"/>
  <c r="J648" i="1"/>
  <c r="L533" i="1"/>
  <c r="I459" i="1"/>
  <c r="I445" i="1"/>
  <c r="G641" i="1"/>
  <c r="C122" i="2"/>
  <c r="C113" i="2"/>
  <c r="L210" i="1"/>
  <c r="F659" i="1"/>
  <c r="F663" i="1"/>
  <c r="D126" i="2"/>
  <c r="D127" i="2"/>
  <c r="C108" i="2"/>
  <c r="C114" i="2"/>
  <c r="H660" i="1"/>
  <c r="C21" i="10"/>
  <c r="E8" i="13"/>
  <c r="C8" i="13"/>
  <c r="K499" i="1"/>
  <c r="I451" i="1"/>
  <c r="F191" i="1"/>
  <c r="D144" i="2"/>
  <c r="C120" i="2"/>
  <c r="G660" i="1"/>
  <c r="I660" i="1"/>
  <c r="C20" i="10"/>
  <c r="G111" i="1"/>
  <c r="F50" i="2"/>
  <c r="L543" i="1"/>
  <c r="K337" i="1"/>
  <c r="K351" i="1"/>
  <c r="H51" i="1"/>
  <c r="H618" i="1"/>
  <c r="J618" i="1"/>
  <c r="E134" i="2"/>
  <c r="E143" i="2"/>
  <c r="E110" i="2"/>
  <c r="E114" i="2"/>
  <c r="E144" i="2"/>
  <c r="C19" i="10"/>
  <c r="C35" i="10"/>
  <c r="G621" i="1"/>
  <c r="L523" i="1"/>
  <c r="J337" i="1"/>
  <c r="J351" i="1"/>
  <c r="G51" i="1"/>
  <c r="H617" i="1"/>
  <c r="J617" i="1"/>
  <c r="C18" i="2"/>
  <c r="C11" i="10"/>
  <c r="L337" i="1"/>
  <c r="C24" i="10"/>
  <c r="G659" i="1"/>
  <c r="G31" i="13"/>
  <c r="G33" i="13"/>
  <c r="I337" i="1"/>
  <c r="I351" i="1"/>
  <c r="J649" i="1"/>
  <c r="L406" i="1"/>
  <c r="C139" i="2"/>
  <c r="C140" i="2"/>
  <c r="C143" i="2"/>
  <c r="L570" i="1"/>
  <c r="I191" i="1"/>
  <c r="E90" i="2"/>
  <c r="D50" i="2"/>
  <c r="J653" i="1"/>
  <c r="J652" i="1"/>
  <c r="F143" i="2"/>
  <c r="F144" i="2"/>
  <c r="G21" i="2"/>
  <c r="G31" i="2"/>
  <c r="J32" i="1"/>
  <c r="L433" i="1"/>
  <c r="G637" i="1"/>
  <c r="J637" i="1"/>
  <c r="J433" i="1"/>
  <c r="F433" i="1"/>
  <c r="K433" i="1"/>
  <c r="G133" i="2"/>
  <c r="G143" i="2"/>
  <c r="G144" i="2"/>
  <c r="F31" i="13"/>
  <c r="F103" i="2"/>
  <c r="H192" i="1"/>
  <c r="G628" i="1"/>
  <c r="J628" i="1"/>
  <c r="G168" i="1"/>
  <c r="C39" i="10"/>
  <c r="G139" i="1"/>
  <c r="F139" i="1"/>
  <c r="F192" i="1"/>
  <c r="G626" i="1"/>
  <c r="J626" i="1"/>
  <c r="C36" i="10"/>
  <c r="G62" i="2"/>
  <c r="G103" i="2"/>
  <c r="G42" i="2"/>
  <c r="G49" i="2"/>
  <c r="G50" i="2"/>
  <c r="J50" i="1"/>
  <c r="G16" i="2"/>
  <c r="G18" i="2"/>
  <c r="J19" i="1"/>
  <c r="G620" i="1"/>
  <c r="F33" i="13"/>
  <c r="D31" i="13"/>
  <c r="C31" i="13"/>
  <c r="F544" i="1"/>
  <c r="H433" i="1"/>
  <c r="D102" i="2"/>
  <c r="I139" i="1"/>
  <c r="I192" i="1"/>
  <c r="G629" i="1"/>
  <c r="J629" i="1"/>
  <c r="A22" i="12"/>
  <c r="C103" i="2"/>
  <c r="J651" i="1"/>
  <c r="G570" i="1"/>
  <c r="I433" i="1"/>
  <c r="G433" i="1"/>
  <c r="E103" i="2"/>
  <c r="I662" i="1"/>
  <c r="G634" i="1"/>
  <c r="J634" i="1"/>
  <c r="K551" i="1"/>
  <c r="C127" i="2"/>
  <c r="C144" i="2"/>
  <c r="E33" i="13"/>
  <c r="D35" i="13"/>
  <c r="D103" i="2"/>
  <c r="L256" i="1"/>
  <c r="L270" i="1"/>
  <c r="G631" i="1"/>
  <c r="J631" i="1"/>
  <c r="F666" i="1"/>
  <c r="F671" i="1"/>
  <c r="C4" i="10"/>
  <c r="C28" i="10"/>
  <c r="D19" i="10"/>
  <c r="L351" i="1"/>
  <c r="G632" i="1"/>
  <c r="J632" i="1"/>
  <c r="J621" i="1"/>
  <c r="L544" i="1"/>
  <c r="I460" i="1"/>
  <c r="H641" i="1"/>
  <c r="J641" i="1"/>
  <c r="H647" i="1"/>
  <c r="J647" i="1"/>
  <c r="L407" i="1"/>
  <c r="H663" i="1"/>
  <c r="G663" i="1"/>
  <c r="G666" i="1"/>
  <c r="I659" i="1"/>
  <c r="I663" i="1"/>
  <c r="I671" i="1"/>
  <c r="C7" i="10" s="1"/>
  <c r="G671" i="1"/>
  <c r="C5" i="10"/>
  <c r="G630" i="1"/>
  <c r="J630" i="1"/>
  <c r="D33" i="13"/>
  <c r="D36" i="13"/>
  <c r="G192" i="1"/>
  <c r="G627" i="1"/>
  <c r="J627" i="1"/>
  <c r="G625" i="1"/>
  <c r="J625" i="1"/>
  <c r="J51" i="1"/>
  <c r="H620" i="1"/>
  <c r="J620" i="1"/>
  <c r="C38" i="10"/>
  <c r="D17" i="10"/>
  <c r="D12" i="10"/>
  <c r="D27" i="10"/>
  <c r="D24" i="10"/>
  <c r="D18" i="10"/>
  <c r="D10" i="10"/>
  <c r="D26" i="10"/>
  <c r="C30" i="10"/>
  <c r="D16" i="10"/>
  <c r="D23" i="10"/>
  <c r="D13" i="10"/>
  <c r="D11" i="10"/>
  <c r="D21" i="10"/>
  <c r="D22" i="10"/>
  <c r="D20" i="10"/>
  <c r="D15" i="10"/>
  <c r="D25" i="10"/>
  <c r="H671" i="1"/>
  <c r="C6" i="10"/>
  <c r="H666" i="1"/>
  <c r="G636" i="1"/>
  <c r="J636" i="1"/>
  <c r="H645" i="1"/>
  <c r="J645" i="1"/>
  <c r="I666" i="1"/>
  <c r="C41" i="10"/>
  <c r="D38" i="10"/>
  <c r="D28" i="10"/>
  <c r="D37" i="10"/>
  <c r="D36" i="10"/>
  <c r="D35" i="10"/>
  <c r="D40" i="10"/>
  <c r="D39" i="10"/>
  <c r="D41" i="10"/>
  <c r="K597" i="1" l="1"/>
  <c r="G646" i="1" s="1"/>
  <c r="J646" i="1" s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<sst xmlns="http://schemas.openxmlformats.org/spreadsheetml/2006/main" count="3946" uniqueCount="912">
  <si>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</si>
  <si>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</si>
  <si>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</si>
  <si>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</si>
  <si>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</si>
  <si>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</si>
  <si>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</si>
  <si>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</si>
  <si>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</si>
  <si>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</si>
  <si>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</si>
  <si>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</si>
  <si>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</si>
  <si>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</si>
  <si>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</si>
  <si>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</si>
  <si>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</si>
  <si>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</si>
  <si>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</si>
  <si>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</si>
  <si>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</si>
  <si>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</si>
  <si>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</si>
  <si>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</si>
  <si>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</si>
  <si>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</si>
  <si>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</si>
  <si>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</si>
  <si>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</si>
  <si>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</si>
  <si>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</si>
  <si>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</si>
  <si>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</si>
  <si>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</si>
  <si>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</si>
  <si>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</si>
  <si>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</si>
  <si>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</si>
  <si>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</si>
  <si>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</si>
  <si>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</si>
  <si>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</si>
  <si>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</si>
  <si>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</si>
  <si>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</si>
  <si>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</si>
  <si>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</si>
  <si>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</si>
  <si>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</si>
  <si>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</si>
  <si>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</si>
  <si>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</si>
  <si>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</si>
  <si>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</si>
  <si>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</si>
  <si>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</si>
  <si>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</si>
  <si>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</si>
  <si>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</si>
  <si>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</si>
  <si>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</si>
  <si>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</si>
  <si>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</si>
  <si>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</si>
  <si>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</si>
  <si>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</si>
  <si>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</si>
  <si>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</si>
  <si>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</si>
  <si>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</si>
  <si>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</si>
  <si>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</si>
  <si>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</si>
  <si>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</si>
  <si>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</si>
  <si>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</si>
  <si>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</si>
  <si>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</si>
  <si>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</si>
  <si>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</si>
  <si>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</si>
  <si>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</si>
  <si>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</si>
  <si>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</si>
  <si>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</si>
  <si>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</si>
  <si>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</si>
  <si>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</si>
  <si>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</si>
  <si>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</si>
  <si>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</si>
  <si>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</si>
  <si>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</si>
  <si>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</si>
  <si>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</si>
  <si>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</si>
  <si>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</si>
  <si>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</si>
  <si>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</si>
  <si>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</si>
  <si>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</si>
  <si>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</si>
  <si>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</si>
  <si>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</si>
  <si>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</si>
  <si>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</si>
  <si>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</si>
  <si>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</si>
  <si>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</si>
  <si>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</si>
  <si>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</si>
  <si>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</si>
  <si>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</si>
  <si>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</si>
  <si>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</si>
  <si>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</si>
  <si>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</si>
  <si>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</si>
  <si>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</si>
  <si>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</si>
  <si>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</si>
  <si>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</si>
  <si>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</si>
  <si>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</si>
  <si>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</si>
  <si>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</si>
  <si>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</si>
  <si>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</si>
  <si>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</si>
  <si>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</si>
  <si>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</si>
  <si>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</si>
  <si>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</si>
  <si>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</si>
  <si>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</si>
  <si>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</si>
  <si>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</si>
  <si>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</si>
  <si>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</si>
  <si>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</si>
  <si>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</si>
  <si>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</si>
  <si>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</si>
  <si>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</si>
  <si>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</si>
  <si>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</si>
  <si>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</si>
  <si>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</si>
  <si>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</si>
  <si>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</si>
  <si>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</si>
  <si>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</si>
  <si>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</si>
  <si>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</si>
  <si>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</si>
  <si>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</si>
  <si>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</si>
  <si>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</si>
  <si>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</si>
  <si>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</si>
  <si>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</si>
  <si>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</si>
  <si>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</si>
  <si>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</si>
  <si>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</si>
  <si>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</si>
  <si>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</si>
  <si>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</si>
  <si>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</si>
  <si>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</si>
  <si>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</si>
  <si>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</si>
  <si>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</si>
  <si>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</si>
  <si>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</si>
  <si>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</si>
  <si>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</si>
  <si>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</si>
  <si>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</si>
  <si>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</si>
  <si>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</si>
  <si>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</si>
  <si>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</si>
  <si>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</si>
  <si>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</si>
  <si>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</si>
  <si>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</si>
  <si>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</si>
  <si>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</si>
  <si>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</si>
  <si>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</si>
  <si>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</si>
  <si>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</si>
  <si>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</si>
  <si>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</si>
  <si>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</si>
  <si>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</si>
  <si>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</si>
  <si>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</si>
  <si>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</si>
  <si>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</si>
  <si>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</si>
  <si>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</si>
  <si>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</si>
  <si>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</si>
  <si>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</si>
  <si>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</si>
  <si>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</si>
  <si>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</si>
  <si>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</si>
  <si>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</si>
  <si>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</si>
  <si>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</si>
  <si>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</si>
  <si>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</si>
  <si>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</si>
  <si>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</si>
  <si>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</si>
  <si>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</si>
  <si>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</si>
  <si>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</si>
  <si>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</si>
  <si>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</si>
  <si>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</si>
  <si>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</si>
  <si>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</si>
  <si>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</si>
  <si>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</si>
  <si>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</si>
  <si>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</si>
  <si>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</si>
  <si>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</si>
  <si>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</si>
  <si>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</si>
  <si>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</si>
  <si>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</si>
  <si>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</si>
  <si>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</si>
  <si>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</si>
  <si>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</si>
  <si>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</si>
  <si>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</si>
  <si>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</si>
  <si>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</si>
  <si>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</si>
  <si>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</si>
  <si>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</si>
  <si>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</si>
  <si>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</si>
  <si>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</si>
  <si>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</si>
  <si>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</si>
  <si>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</si>
  <si>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</si>
  <si>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</si>
  <si>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</si>
  <si>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</si>
  <si>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</si>
  <si>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</si>
  <si>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</si>
  <si>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</si>
  <si>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</si>
  <si>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</si>
  <si>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</si>
  <si>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</si>
  <si>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</si>
  <si>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</si>
  <si>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</si>
  <si>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</si>
  <si>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</si>
  <si>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</si>
  <si>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</si>
  <si>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</si>
  <si>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</si>
  <si>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</si>
  <si>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</si>
  <si>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</si>
  <si>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</si>
  <si>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</si>
  <si>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</si>
  <si>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</si>
  <si>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</si>
  <si>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</si>
  <si>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</si>
  <si>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</si>
  <si>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</si>
  <si>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</si>
  <si>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</si>
  <si>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</si>
  <si>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</si>
  <si>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</si>
  <si>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</si>
  <si>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</si>
  <si>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</si>
  <si>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</si>
  <si>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</si>
  <si>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</si>
  <si>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</si>
  <si>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</si>
  <si>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</si>
  <si>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</si>
  <si>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</si>
  <si>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</si>
  <si>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</si>
  <si>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</si>
  <si>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</si>
  <si>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</si>
  <si>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</si>
  <si>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</si>
  <si>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</si>
  <si>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</si>
  <si>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</si>
  <si>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</si>
  <si>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</si>
  <si>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</si>
  <si>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</si>
  <si>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</si>
  <si>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</si>
  <si>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</si>
  <si>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</si>
  <si>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</si>
  <si>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</si>
  <si>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</si>
  <si>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</si>
  <si>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</si>
  <si>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</si>
  <si>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</si>
  <si>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</si>
  <si>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</si>
  <si>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</si>
  <si>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</si>
  <si>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</si>
  <si>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</si>
  <si>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</si>
  <si>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</si>
  <si>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</si>
  <si>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</si>
  <si>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</si>
  <si>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</si>
  <si>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</si>
  <si>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</si>
  <si>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</si>
  <si>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</si>
  <si>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</si>
  <si>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</si>
  <si>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</si>
  <si>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</si>
  <si>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</si>
  <si>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</si>
  <si>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</si>
  <si>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</si>
  <si>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</si>
  <si>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</si>
  <si>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</si>
  <si>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</si>
  <si>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</si>
  <si>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</si>
  <si>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</si>
  <si>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</si>
  <si>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</si>
  <si>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</si>
  <si>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</si>
  <si>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</si>
  <si>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</si>
  <si>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</si>
  <si>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</si>
  <si>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</si>
  <si>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</si>
  <si>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</si>
  <si>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</si>
  <si>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</si>
  <si>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</si>
  <si>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</si>
  <si>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</si>
  <si>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</si>
  <si>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</si>
  <si>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</si>
  <si>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</si>
  <si>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</si>
  <si>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</si>
  <si>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</si>
  <si>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</si>
  <si>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</si>
  <si>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</si>
  <si>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</si>
  <si>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</si>
  <si>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</si>
  <si>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</si>
  <si>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</si>
  <si>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</si>
  <si>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</si>
  <si>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</si>
  <si>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</si>
  <si>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</si>
  <si>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</si>
  <si>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</si>
  <si>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</si>
  <si>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</si>
  <si>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</si>
  <si>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</si>
  <si>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</si>
  <si>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</si>
  <si>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</si>
  <si>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</si>
  <si>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</si>
  <si>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</si>
  <si>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</si>
  <si>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</si>
  <si>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</si>
  <si>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</si>
  <si>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</si>
  <si>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</si>
  <si>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</si>
  <si>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</si>
  <si>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</si>
  <si>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</si>
  <si>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</si>
  <si>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</si>
  <si>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</si>
  <si>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</si>
  <si>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</si>
  <si>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</si>
  <si>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</si>
  <si>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</si>
  <si>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</si>
  <si>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</si>
  <si>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</si>
  <si>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</si>
  <si>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</si>
  <si>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</si>
  <si>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</si>
  <si>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</si>
  <si>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</si>
  <si>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</si>
  <si>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</si>
  <si>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</si>
  <si>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</si>
  <si>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</si>
  <si>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</si>
  <si>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</si>
  <si>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</si>
  <si>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</si>
  <si>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</si>
  <si>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</si>
  <si>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</si>
  <si>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</si>
  <si>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</si>
  <si>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</si>
  <si>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</si>
  <si>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</si>
  <si>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</si>
  <si>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</si>
  <si>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</si>
  <si>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</si>
  <si>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</si>
  <si>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</si>
  <si>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</si>
  <si>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</si>
  <si>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</si>
  <si>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</si>
  <si>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</si>
  <si>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</si>
  <si>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</si>
  <si>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</si>
  <si>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</si>
  <si>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</si>
  <si>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</si>
  <si>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</si>
  <si>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</si>
  <si>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</si>
  <si>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</si>
  <si>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</si>
  <si>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</si>
  <si>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</si>
  <si>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</si>
  <si>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</si>
  <si>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</si>
  <si>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</si>
  <si>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</si>
  <si>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</si>
  <si>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</si>
  <si>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</si>
  <si>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</si>
  <si>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</si>
  <si>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</si>
  <si>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</si>
  <si>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</si>
  <si>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</si>
  <si>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</si>
  <si>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</si>
  <si>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</si>
  <si>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</si>
  <si>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</si>
  <si>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</si>
  <si>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</si>
  <si>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</si>
  <si>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</si>
  <si>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</si>
  <si>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</si>
  <si>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</si>
  <si>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</si>
  <si>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</si>
  <si>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</si>
  <si>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</si>
  <si>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</si>
  <si>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</si>
  <si>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</si>
  <si>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</si>
  <si>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</si>
  <si>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</si>
  <si>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</si>
  <si>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</si>
  <si>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</si>
  <si>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</si>
  <si>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</si>
  <si>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</si>
  <si>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</si>
  <si>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</si>
  <si>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</si>
  <si>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</si>
  <si>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</si>
  <si>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</si>
  <si>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</si>
  <si>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</si>
  <si>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</si>
  <si>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</si>
  <si>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</si>
  <si>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</si>
  <si>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</si>
  <si>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</si>
  <si>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</si>
  <si>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</si>
  <si>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</si>
  <si>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</si>
  <si>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</si>
  <si>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</si>
  <si>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</si>
  <si>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</si>
  <si>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</si>
  <si>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</si>
  <si>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</si>
  <si>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</si>
  <si>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</si>
  <si>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</si>
  <si>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</si>
  <si>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</si>
  <si>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</si>
  <si>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</si>
  <si>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</si>
  <si>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</si>
  <si>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</si>
  <si>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</si>
  <si>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</si>
  <si>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</si>
  <si>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</si>
  <si>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</si>
  <si>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</si>
  <si>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</si>
  <si>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</si>
  <si>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</si>
  <si>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</si>
  <si>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</si>
  <si>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</si>
  <si>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</si>
  <si>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</si>
  <si>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</si>
  <si>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</si>
  <si>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</si>
  <si>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</si>
  <si>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</si>
  <si>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</si>
  <si>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</si>
  <si>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</si>
  <si>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</si>
  <si>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</si>
  <si>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</si>
  <si>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</si>
  <si>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</si>
  <si>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</si>
  <si>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</si>
  <si>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</si>
  <si>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</si>
  <si>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</si>
  <si>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</si>
  <si>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</si>
  <si>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</si>
  <si>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</si>
  <si>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</si>
  <si>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</si>
  <si>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</si>
  <si>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</si>
  <si>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</si>
  <si>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</si>
  <si>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</si>
  <si>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</si>
  <si>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</si>
  <si>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</si>
  <si>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</si>
  <si>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</si>
  <si>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</si>
  <si>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</si>
  <si>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</si>
  <si>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</si>
  <si>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</si>
  <si>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</si>
  <si>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</si>
  <si>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</si>
  <si>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</si>
  <si>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</si>
  <si>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</si>
  <si>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</si>
  <si>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</si>
  <si>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</si>
  <si>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</si>
  <si>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</si>
  <si>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</si>
  <si>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</si>
  <si>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</si>
  <si>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</si>
  <si>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</si>
  <si>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</si>
  <si>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</si>
  <si>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</si>
  <si>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</si>
  <si>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</si>
  <si>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</si>
  <si>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</si>
  <si>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</si>
  <si>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</si>
  <si>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</si>
  <si>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</si>
  <si>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</si>
  <si>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</si>
  <si>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</si>
  <si>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</si>
  <si>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</si>
  <si>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</si>
  <si>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</si>
  <si>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</si>
  <si>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</si>
  <si>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</si>
  <si>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</si>
  <si>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</si>
  <si>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</si>
  <si>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</si>
  <si>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</si>
  <si>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</si>
  <si>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</si>
  <si>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</si>
  <si>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</si>
  <si>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</si>
  <si>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</si>
  <si>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</si>
  <si>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</si>
  <si>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</si>
  <si>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</si>
  <si>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</si>
  <si>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</si>
  <si>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</si>
  <si>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</si>
  <si>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</si>
  <si>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</si>
  <si>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</si>
  <si>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</si>
  <si>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</si>
  <si>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</si>
  <si>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</si>
  <si>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</si>
  <si>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</si>
  <si>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</si>
  <si>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</si>
  <si>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</si>
  <si>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</si>
  <si>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</si>
  <si>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</si>
  <si>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</si>
  <si>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</si>
  <si>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</si>
  <si>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</si>
  <si>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</si>
  <si>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</si>
  <si>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</si>
  <si>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</si>
  <si>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</si>
  <si>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</si>
  <si>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</si>
  <si>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</si>
  <si>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</si>
  <si>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</si>
  <si>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</si>
  <si>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</si>
  <si>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</si>
  <si>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</si>
  <si>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</si>
  <si>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</si>
  <si>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</si>
  <si>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</si>
  <si>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</si>
  <si>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</si>
  <si>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</si>
  <si>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</si>
  <si>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</si>
  <si>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</si>
  <si>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</si>
  <si>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</si>
  <si>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</si>
  <si>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</si>
  <si>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</si>
  <si>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</si>
  <si>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</si>
  <si>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</si>
  <si>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</si>
  <si>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</si>
  <si>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</si>
  <si>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</si>
  <si>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</si>
  <si>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</si>
  <si>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</si>
  <si>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</si>
  <si>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</si>
  <si>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</si>
  <si>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</si>
  <si>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</si>
  <si>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</si>
  <si>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</si>
  <si>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</si>
  <si>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</si>
  <si>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</si>
  <si>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</si>
  <si>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</si>
  <si>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</si>
  <si>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</si>
  <si>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</si>
  <si>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</si>
  <si>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</si>
  <si>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</si>
  <si>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</si>
  <si>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</si>
  <si>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</si>
  <si>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</si>
  <si>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</si>
  <si>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</si>
  <si>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</si>
  <si>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</si>
  <si>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</si>
  <si>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</si>
  <si>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</si>
  <si>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</si>
  <si>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</si>
  <si>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</si>
  <si>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</si>
  <si>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</si>
  <si>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</si>
  <si>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</si>
  <si>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</si>
  <si>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</si>
  <si>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</si>
  <si>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</si>
  <si>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</si>
  <si>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</si>
  <si>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</si>
  <si>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</si>
  <si>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</si>
  <si>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</si>
  <si>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</si>
  <si>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</si>
  <si>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</si>
  <si>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</si>
  <si>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</si>
  <si>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</si>
  <si>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</si>
  <si>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</si>
  <si>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</si>
  <si>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</si>
  <si>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</si>
  <si>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</si>
  <si>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</si>
  <si>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</si>
  <si>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</si>
  <si>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</si>
  <si>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</si>
  <si>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</si>
  <si>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</si>
  <si>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</si>
  <si>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</si>
  <si>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</si>
  <si>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</si>
  <si>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</si>
  <si>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</si>
  <si>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</si>
  <si>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</si>
  <si>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</si>
  <si>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</si>
  <si>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</si>
  <si>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</si>
  <si>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</si>
  <si>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</si>
  <si>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</si>
  <si>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</si>
  <si>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</si>
  <si>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</si>
  <si>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</si>
  <si>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</si>
  <si>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</si>
  <si>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</si>
  <si>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</si>
  <si>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</si>
  <si>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</si>
  <si>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</si>
  <si>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</si>
  <si>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</si>
  <si>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</si>
  <si>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</si>
  <si>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</si>
  <si>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</si>
  <si>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</si>
  <si>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</si>
  <si>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</si>
  <si>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</si>
  <si>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</si>
  <si>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</si>
  <si>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</si>
  <si>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</si>
  <si>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</si>
  <si>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</si>
  <si>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</si>
  <si>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</si>
  <si>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</si>
  <si>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</si>
  <si>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</si>
  <si>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</si>
  <si>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</si>
  <si>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</si>
  <si>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</si>
  <si>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</si>
  <si>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</si>
  <si>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</si>
  <si>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</si>
  <si>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</si>
  <si>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</si>
  <si>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</si>
  <si>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</si>
  <si>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</si>
  <si>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</si>
  <si>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</si>
  <si>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</si>
  <si>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</si>
  <si>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</si>
  <si>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</si>
  <si>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</si>
  <si>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</si>
  <si>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</si>
  <si>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</si>
  <si>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</si>
  <si>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</si>
  <si>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</si>
  <si>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</si>
  <si>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</si>
  <si>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</si>
  <si>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</si>
  <si>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</si>
  <si>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</si>
  <si>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</si>
  <si>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</si>
  <si>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</si>
  <si>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</si>
  <si>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</si>
  <si>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</si>
  <si>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</si>
  <si>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</si>
  <si>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</si>
  <si>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</si>
  <si>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</si>
  <si>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</si>
  <si>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</si>
  <si>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</si>
  <si>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</si>
  <si>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</si>
  <si>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</si>
  <si>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</si>
  <si>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</si>
  <si>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</si>
  <si>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</si>
  <si>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</si>
  <si>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</si>
  <si>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</si>
  <si>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</si>
  <si>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</si>
  <si>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</si>
  <si>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</si>
  <si>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</si>
  <si>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</si>
  <si>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</si>
  <si>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</si>
  <si>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</si>
  <si>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</si>
  <si>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</si>
  <si>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</si>
  <si>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</si>
  <si>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</si>
  <si>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</si>
  <si>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</si>
  <si>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</si>
  <si>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</si>
  <si>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</si>
  <si>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</si>
  <si>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</si>
  <si>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</si>
  <si>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</si>
  <si>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STRAFFORD SCHOOL DISTRICT</t>
  </si>
  <si>
    <t>8/10</t>
  </si>
  <si>
    <t>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</si>
</sst>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620" zoomScale="90" zoomScaleNormal="90" workbookViewId="0">
      <selection activeCell="J591" sqref="J59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507</v>
      </c>
      <c r="C2" s="21">
        <v>507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75000+303878.14</f>
        <v>378878.14</v>
      </c>
      <c r="G9" s="18"/>
      <c r="H9" s="18"/>
      <c r="I9" s="18">
        <v>72976.820000000007</v>
      </c>
      <c r="J9" s="67">
        <f>SUM(I438)</f>
        <v>423058.75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7789.15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9891.7999999999993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2664.34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1084.75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389331.63000000006</v>
      </c>
      <c r="G19" s="41">
        <f>SUM(G9:G18)</f>
        <v>10976.55</v>
      </c>
      <c r="H19" s="41">
        <f>SUM(H9:H18)</f>
        <v>0</v>
      </c>
      <c r="I19" s="41">
        <f>SUM(I9:I18)</f>
        <v>72976.820000000007</v>
      </c>
      <c r="J19" s="41">
        <f>SUM(J9:J18)</f>
        <v>423058.75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72976.820000000007</v>
      </c>
      <c r="G22" s="18">
        <v>7789.15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47856.160000000003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37950.5+3231.7-68.01</f>
        <v>41114.189999999995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161947.17000000001</v>
      </c>
      <c r="G32" s="41">
        <f>SUM(G22:G31)</f>
        <v>7789.15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1084.75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2102.65</v>
      </c>
      <c r="H47" s="18"/>
      <c r="I47" s="18">
        <v>72976.820000000007</v>
      </c>
      <c r="J47" s="13">
        <f>SUM(I458)</f>
        <v>423058.75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227384.46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227384.46</v>
      </c>
      <c r="G50" s="41">
        <f>SUM(G35:G49)</f>
        <v>3187.4</v>
      </c>
      <c r="H50" s="41">
        <f>SUM(H35:H49)</f>
        <v>0</v>
      </c>
      <c r="I50" s="41">
        <f>SUM(I35:I49)</f>
        <v>72976.820000000007</v>
      </c>
      <c r="J50" s="41">
        <f>SUM(J35:J49)</f>
        <v>423058.75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389331.63</v>
      </c>
      <c r="G51" s="41">
        <f>G50+G32</f>
        <v>10976.55</v>
      </c>
      <c r="H51" s="41">
        <f>H50+H32</f>
        <v>0</v>
      </c>
      <c r="I51" s="41">
        <f>I50+I32</f>
        <v>72976.820000000007</v>
      </c>
      <c r="J51" s="41">
        <f>J50+J32</f>
        <v>423058.75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6733132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>
        <v>0</v>
      </c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6733132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565.95000000000005</v>
      </c>
      <c r="G95" s="18"/>
      <c r="H95" s="18"/>
      <c r="I95" s="18"/>
      <c r="J95" s="18">
        <v>338.54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2421.95+100095.95+75+424.5</f>
        <v>103017.4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3769.04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35000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1200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5534.99</v>
      </c>
      <c r="G110" s="41">
        <f>SUM(G95:G109)</f>
        <v>103017.4</v>
      </c>
      <c r="H110" s="41">
        <f>SUM(H95:H109)</f>
        <v>35000</v>
      </c>
      <c r="I110" s="41">
        <f>SUM(I95:I109)</f>
        <v>0</v>
      </c>
      <c r="J110" s="41">
        <f>SUM(J95:J109)</f>
        <v>338.54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6738666.9900000002</v>
      </c>
      <c r="G111" s="41">
        <f>G59+G110</f>
        <v>103017.4</v>
      </c>
      <c r="H111" s="41">
        <f>H59+H78+H93+H110</f>
        <v>35000</v>
      </c>
      <c r="I111" s="41">
        <f>I59+I110</f>
        <v>0</v>
      </c>
      <c r="J111" s="41">
        <f>J59+J110</f>
        <v>338.54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2279185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1062009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3341194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59482.5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7666.73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2571.2199999999998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67149.23</v>
      </c>
      <c r="G135" s="41">
        <f>SUM(G122:G134)</f>
        <v>2571.2199999999998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3408343.23</v>
      </c>
      <c r="G139" s="41">
        <f>G120+SUM(G135:G136)</f>
        <v>2571.2199999999998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46135.85+14756.21</f>
        <v>60892.06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82822.42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82822.42</v>
      </c>
      <c r="G161" s="41">
        <f>SUM(G149:G160)</f>
        <v>60892.06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82822.42</v>
      </c>
      <c r="G168" s="41">
        <f>G146+G161+SUM(G162:G167)</f>
        <v>60892.06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1741.8</v>
      </c>
      <c r="H178" s="18"/>
      <c r="I178" s="18"/>
      <c r="J178" s="18">
        <v>50000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1741.8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1741.8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10229832.640000001</v>
      </c>
      <c r="G192" s="47">
        <f>G111+G139+G168+G191</f>
        <v>168222.47999999998</v>
      </c>
      <c r="H192" s="47">
        <f>H111+H139+H168+H191</f>
        <v>35000</v>
      </c>
      <c r="I192" s="47">
        <f>I111+I139+I168+I191</f>
        <v>0</v>
      </c>
      <c r="J192" s="47">
        <f>J111+J139+J191</f>
        <v>50338.54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6608.58+3450+1841780.13+49588.22</f>
        <v>1901426.93</v>
      </c>
      <c r="G196" s="18">
        <f>474264.06+16457.45+1812.49+6898.82+6500+139058.92+2102.41+205511.64+3408.38+838.66+8275-0.25</f>
        <v>865127.58000000007</v>
      </c>
      <c r="H196" s="18">
        <f>918+9267.51+1474.73</f>
        <v>11660.24</v>
      </c>
      <c r="I196" s="18">
        <f>576.84+1749.41+1564.04+5560.92+242.94+934.78+2075.69+727.37+5966.31+1000+704.9+1604.41+2105.77+13962.26+2299.61+891.71+325.51+5691.23+949.06+1056.97+7245.06</f>
        <v>57234.790000000008</v>
      </c>
      <c r="J196" s="18">
        <f>599.89+25438.14</f>
        <v>26038.03</v>
      </c>
      <c r="K196" s="18">
        <v>1245.96</v>
      </c>
      <c r="L196" s="19">
        <f>SUM(F196:K196)</f>
        <v>2862733.53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228963.17+351034.34+22861.44+4795+10815+18099.18</f>
        <v>636568.13</v>
      </c>
      <c r="G197" s="18">
        <f>275114.47+8174.6+264.6+7000+1000+44404.72+31324.23+25974.6+2458.54+582.25</f>
        <v>396298.00999999983</v>
      </c>
      <c r="H197" s="18">
        <f>1150+8417.01+1136.61</f>
        <v>10703.62</v>
      </c>
      <c r="I197" s="18">
        <f>62.07+700+1062.6+544.2+400+696.05+23.35+200+26.7+116.33</f>
        <v>3831.2999999999997</v>
      </c>
      <c r="J197" s="18">
        <f>9.22+700</f>
        <v>709.22</v>
      </c>
      <c r="K197" s="18">
        <v>247.5</v>
      </c>
      <c r="L197" s="19">
        <f>SUM(F197:K197)</f>
        <v>1048357.7799999999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900+3200+6200+2500+1950+9900+5400+12200</f>
        <v>42250</v>
      </c>
      <c r="G199" s="18">
        <f>1128.42+215.6+870.11+1170.46+237.6+1322.1+990.31+1164.48</f>
        <v>7099.08</v>
      </c>
      <c r="H199" s="18">
        <f>600+83.25+2560+340</f>
        <v>3583.25</v>
      </c>
      <c r="I199" s="18">
        <f>1475+3706.36</f>
        <v>5181.3600000000006</v>
      </c>
      <c r="J199" s="18"/>
      <c r="K199" s="18">
        <v>715</v>
      </c>
      <c r="L199" s="19">
        <f>SUM(F199:K199)</f>
        <v>58828.69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500+100827.88+53234+1750+122364.98</f>
        <v>278676.86</v>
      </c>
      <c r="G201" s="18">
        <f>38.25+44+14388.62+725.84+100.2+7399.8+7190.04+187.58+46.58+56.7+1000+4282.79+6015.36+148.79+23.29+28564.02+951.03+103.4+8869.29+13827.33+187.58+46.58</f>
        <v>94197.070000000022</v>
      </c>
      <c r="H201" s="18">
        <f>6362.5+430.13+96.77+76171.98</f>
        <v>83061.37999999999</v>
      </c>
      <c r="I201" s="18">
        <f>1299.53+85.37+262.19+1066.24</f>
        <v>2713.33</v>
      </c>
      <c r="J201" s="18">
        <v>73.61</v>
      </c>
      <c r="K201" s="18">
        <v>135</v>
      </c>
      <c r="L201" s="19">
        <f t="shared" ref="L201:L207" si="0">SUM(F201:K201)</f>
        <v>458857.25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700+1300+65981.04+18345.6+175</f>
        <v>86501.639999999985</v>
      </c>
      <c r="G202" s="18">
        <f>26000+2500+25743.52+890.95+56.7+6215.8+1614.34+7455.93+187.58+46.58+395.5+132+382.5</f>
        <v>71621.399999999994</v>
      </c>
      <c r="H202" s="18">
        <f>1600+712+1400+12980+683.3+1406.96+424.4+2016.44</f>
        <v>21223.1</v>
      </c>
      <c r="I202" s="18">
        <f>282.24+304.72+1371.61+7890.27+330.53+16028.72</f>
        <v>26208.09</v>
      </c>
      <c r="J202" s="18">
        <f>1149.95+649</f>
        <v>1798.95</v>
      </c>
      <c r="K202" s="18"/>
      <c r="L202" s="19">
        <f t="shared" si="0"/>
        <v>207353.18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6290.54</v>
      </c>
      <c r="G203" s="18">
        <v>481.22</v>
      </c>
      <c r="H203" s="18">
        <v>217911.81</v>
      </c>
      <c r="I203" s="18">
        <v>0</v>
      </c>
      <c r="J203" s="18">
        <v>0</v>
      </c>
      <c r="K203" s="18">
        <v>3703.96</v>
      </c>
      <c r="L203" s="19">
        <f t="shared" si="0"/>
        <v>228387.53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86250+70890+61076.74+57343.02+141.84</f>
        <v>275701.60000000003</v>
      </c>
      <c r="G204" s="18">
        <f>86454.62+4180.56+678.51+392.88+1000+20775.36+10433.49+17756.81+413.95+116.45</f>
        <v>142202.63000000003</v>
      </c>
      <c r="H204" s="18">
        <f>3859.29+2103.61+1723.32+965.66+101.28</f>
        <v>8753.16</v>
      </c>
      <c r="I204" s="18">
        <f>169.72+300</f>
        <v>469.72</v>
      </c>
      <c r="J204" s="18"/>
      <c r="K204" s="18">
        <f>1519+2031.08</f>
        <v>3550.08</v>
      </c>
      <c r="L204" s="19">
        <f t="shared" si="0"/>
        <v>430677.19000000006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23441</v>
      </c>
      <c r="G205" s="18">
        <v>17522.439999999999</v>
      </c>
      <c r="H205" s="18">
        <v>2123.69</v>
      </c>
      <c r="I205" s="18">
        <v>1980.52</v>
      </c>
      <c r="J205" s="18">
        <v>0</v>
      </c>
      <c r="K205" s="18">
        <v>0</v>
      </c>
      <c r="L205" s="19">
        <f t="shared" si="0"/>
        <v>45067.65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43479.02+78684.78+1092.71+3897.67+4339.79</f>
        <v>131493.97</v>
      </c>
      <c r="G206" s="18">
        <f>48470.12+1395.84+56.7+9672.88+9983.09-27.4+468.95+93.16</f>
        <v>70113.34</v>
      </c>
      <c r="H206" s="18">
        <f>56+6077.71+1988.14+1000+8325.21+14744.93+400+15027.24+28118+124.48+7039.77+1500+11035+2793.23+146+605+4094.5+4397.76+20130</f>
        <v>127602.96999999999</v>
      </c>
      <c r="I206" s="18">
        <f>21595.4+21.87+426.99+772.36+398.51+19.51+60653.67+25446.38+43556.48</f>
        <v>152891.17000000001</v>
      </c>
      <c r="J206" s="18">
        <f>14019.2+8921.77+16107.59</f>
        <v>39048.559999999998</v>
      </c>
      <c r="K206" s="18"/>
      <c r="L206" s="19">
        <f t="shared" si="0"/>
        <v>521150.00999999995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144253.03+94837.25+2691.57+483.61-1782-2760-4600-2615-170</f>
        <v>230338.46</v>
      </c>
      <c r="I207" s="18"/>
      <c r="J207" s="18"/>
      <c r="K207" s="18"/>
      <c r="L207" s="19">
        <f t="shared" si="0"/>
        <v>230338.46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3382350.6700000004</v>
      </c>
      <c r="G210" s="41">
        <f t="shared" si="1"/>
        <v>1664662.77</v>
      </c>
      <c r="H210" s="41">
        <f t="shared" si="1"/>
        <v>716961.67999999993</v>
      </c>
      <c r="I210" s="41">
        <f t="shared" si="1"/>
        <v>250510.28000000003</v>
      </c>
      <c r="J210" s="41">
        <f t="shared" si="1"/>
        <v>67668.37</v>
      </c>
      <c r="K210" s="41">
        <f t="shared" si="1"/>
        <v>9597.5</v>
      </c>
      <c r="L210" s="41">
        <f t="shared" si="1"/>
        <v>6091751.2700000005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15881+2946026.39</f>
        <v>2961907.39</v>
      </c>
      <c r="I232" s="18"/>
      <c r="J232" s="18"/>
      <c r="K232" s="18"/>
      <c r="L232" s="19">
        <f>SUM(F232:K232)</f>
        <v>2961907.39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690+840+1255+298834.74+372639</f>
        <v>674258.74</v>
      </c>
      <c r="I233" s="18"/>
      <c r="J233" s="18"/>
      <c r="K233" s="18"/>
      <c r="L233" s="19">
        <f>SUM(F233:K233)</f>
        <v>674258.74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24364.75</f>
        <v>24364.75</v>
      </c>
      <c r="I237" s="18"/>
      <c r="J237" s="18"/>
      <c r="K237" s="18"/>
      <c r="L237" s="19">
        <f t="shared" ref="L237:L243" si="4">SUM(F237:K237)</f>
        <v>24364.75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3694.44</v>
      </c>
      <c r="G239" s="18">
        <v>282.62</v>
      </c>
      <c r="H239" s="18">
        <v>127979.95</v>
      </c>
      <c r="I239" s="18">
        <v>0</v>
      </c>
      <c r="J239" s="18">
        <v>0</v>
      </c>
      <c r="K239" s="18">
        <v>2175.34</v>
      </c>
      <c r="L239" s="19">
        <f t="shared" si="4"/>
        <v>134132.35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13766.93</v>
      </c>
      <c r="G241" s="18">
        <v>10290.959999999999</v>
      </c>
      <c r="H241" s="18">
        <v>1247.25</v>
      </c>
      <c r="I241" s="18">
        <v>1163.17</v>
      </c>
      <c r="J241" s="18">
        <v>0</v>
      </c>
      <c r="K241" s="18">
        <v>0</v>
      </c>
      <c r="L241" s="19">
        <f t="shared" si="4"/>
        <v>26468.309999999998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137239.25+1782+2760+4600+2615+170</f>
        <v>149166.25</v>
      </c>
      <c r="I243" s="18"/>
      <c r="J243" s="18"/>
      <c r="K243" s="18"/>
      <c r="L243" s="19">
        <f t="shared" si="4"/>
        <v>149166.25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17461.37</v>
      </c>
      <c r="G246" s="41">
        <f t="shared" si="5"/>
        <v>10573.58</v>
      </c>
      <c r="H246" s="41">
        <f t="shared" si="5"/>
        <v>3938924.33</v>
      </c>
      <c r="I246" s="41">
        <f t="shared" si="5"/>
        <v>1163.17</v>
      </c>
      <c r="J246" s="41">
        <f t="shared" si="5"/>
        <v>0</v>
      </c>
      <c r="K246" s="41">
        <f t="shared" si="5"/>
        <v>2175.34</v>
      </c>
      <c r="L246" s="41">
        <f t="shared" si="5"/>
        <v>3970297.79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3399812.0400000005</v>
      </c>
      <c r="G256" s="41">
        <f t="shared" si="8"/>
        <v>1675236.35</v>
      </c>
      <c r="H256" s="41">
        <f t="shared" si="8"/>
        <v>4655886.01</v>
      </c>
      <c r="I256" s="41">
        <f t="shared" si="8"/>
        <v>251673.45000000004</v>
      </c>
      <c r="J256" s="41">
        <f t="shared" si="8"/>
        <v>67668.37</v>
      </c>
      <c r="K256" s="41">
        <f t="shared" si="8"/>
        <v>11772.84</v>
      </c>
      <c r="L256" s="41">
        <f t="shared" si="8"/>
        <v>10062049.060000001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226937.5</v>
      </c>
      <c r="L259" s="19">
        <f>SUM(F259:K259)</f>
        <v>226937.5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180000</v>
      </c>
      <c r="L260" s="19">
        <f>SUM(F260:K260)</f>
        <v>180000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1741.8</v>
      </c>
      <c r="L262" s="19">
        <f>SUM(F262:K262)</f>
        <v>1741.8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458679.3</v>
      </c>
      <c r="L269" s="41">
        <f t="shared" si="9"/>
        <v>458679.3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3399812.0400000005</v>
      </c>
      <c r="G270" s="42">
        <f t="shared" si="11"/>
        <v>1675236.35</v>
      </c>
      <c r="H270" s="42">
        <f t="shared" si="11"/>
        <v>4655886.01</v>
      </c>
      <c r="I270" s="42">
        <f t="shared" si="11"/>
        <v>251673.45000000004</v>
      </c>
      <c r="J270" s="42">
        <f t="shared" si="11"/>
        <v>67668.37</v>
      </c>
      <c r="K270" s="42">
        <f t="shared" si="11"/>
        <v>470452.14</v>
      </c>
      <c r="L270" s="42">
        <f t="shared" si="11"/>
        <v>10520728.360000001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v>35000</v>
      </c>
      <c r="I335" s="18"/>
      <c r="J335" s="18"/>
      <c r="K335" s="18"/>
      <c r="L335" s="19">
        <f t="shared" si="18"/>
        <v>35000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35000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35000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35000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35000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35000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35000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32484.91+35455.38+1680</f>
        <v>69620.289999999994</v>
      </c>
      <c r="G357" s="18">
        <f>557.75+1000+5402.62+2858.67+336.37+93.16</f>
        <v>10248.570000000002</v>
      </c>
      <c r="H357" s="18">
        <f>55.95+150</f>
        <v>205.95</v>
      </c>
      <c r="I357" s="18">
        <f>2234.82+1500+84010.45</f>
        <v>87745.27</v>
      </c>
      <c r="J357" s="18">
        <v>357.15</v>
      </c>
      <c r="K357" s="18">
        <v>45.25</v>
      </c>
      <c r="L357" s="13">
        <f>SUM(F357:K357)</f>
        <v>168222.48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69620.289999999994</v>
      </c>
      <c r="G361" s="47">
        <f t="shared" si="22"/>
        <v>10248.570000000002</v>
      </c>
      <c r="H361" s="47">
        <f t="shared" si="22"/>
        <v>205.95</v>
      </c>
      <c r="I361" s="47">
        <f t="shared" si="22"/>
        <v>87745.27</v>
      </c>
      <c r="J361" s="47">
        <f t="shared" si="22"/>
        <v>357.15</v>
      </c>
      <c r="K361" s="47">
        <f t="shared" si="22"/>
        <v>45.25</v>
      </c>
      <c r="L361" s="47">
        <f t="shared" si="22"/>
        <v>168222.48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84010.45</v>
      </c>
      <c r="G366" s="18"/>
      <c r="H366" s="18"/>
      <c r="I366" s="56">
        <f>SUM(F366:H366)</f>
        <v>84010.45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3734.82</v>
      </c>
      <c r="G367" s="63"/>
      <c r="H367" s="63"/>
      <c r="I367" s="56">
        <f>SUM(F367:H367)</f>
        <v>3734.82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87745.27</v>
      </c>
      <c r="G368" s="47">
        <f>SUM(G366:G367)</f>
        <v>0</v>
      </c>
      <c r="H368" s="47">
        <f>SUM(H366:H367)</f>
        <v>0</v>
      </c>
      <c r="I368" s="47">
        <f>SUM(I366:I367)</f>
        <v>87745.27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25000</v>
      </c>
      <c r="H388" s="18">
        <v>275.87</v>
      </c>
      <c r="I388" s="18"/>
      <c r="J388" s="24" t="s">
        <v>289</v>
      </c>
      <c r="K388" s="24" t="s">
        <v>289</v>
      </c>
      <c r="L388" s="56">
        <f t="shared" si="25"/>
        <v>25275.87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25000</v>
      </c>
      <c r="H392" s="139">
        <f>SUM(H386:H391)</f>
        <v>275.87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25275.87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53.07</v>
      </c>
      <c r="I396" s="18"/>
      <c r="J396" s="24" t="s">
        <v>289</v>
      </c>
      <c r="K396" s="24" t="s">
        <v>289</v>
      </c>
      <c r="L396" s="56">
        <f t="shared" si="26"/>
        <v>25053.07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0</v>
      </c>
      <c r="H399" s="18">
        <v>9.6</v>
      </c>
      <c r="I399" s="18"/>
      <c r="J399" s="24" t="s">
        <v>289</v>
      </c>
      <c r="K399" s="24" t="s">
        <v>289</v>
      </c>
      <c r="L399" s="56">
        <f t="shared" si="26"/>
        <v>9.6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62.67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25062.67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338.54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50338.539999999994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64235</v>
      </c>
      <c r="I414" s="18"/>
      <c r="J414" s="18"/>
      <c r="K414" s="18"/>
      <c r="L414" s="56">
        <f t="shared" si="27"/>
        <v>64235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64235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64235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18593.38</v>
      </c>
      <c r="I425" s="18"/>
      <c r="J425" s="18"/>
      <c r="K425" s="18"/>
      <c r="L425" s="56">
        <f t="shared" si="29"/>
        <v>18593.38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18593.38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18593.38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82828.38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82828.38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346435.25</v>
      </c>
      <c r="G438" s="18">
        <f>75122.88+1500.62</f>
        <v>76623.5</v>
      </c>
      <c r="H438" s="18"/>
      <c r="I438" s="56">
        <f t="shared" ref="I438:I444" si="33">SUM(F438:H438)</f>
        <v>423058.75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346435.25</v>
      </c>
      <c r="G445" s="13">
        <f>SUM(G438:G444)</f>
        <v>76623.5</v>
      </c>
      <c r="H445" s="13">
        <f>SUM(H438:H444)</f>
        <v>0</v>
      </c>
      <c r="I445" s="13">
        <f>SUM(I438:I444)</f>
        <v>423058.75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346435.25</v>
      </c>
      <c r="G458" s="18">
        <v>76623.5</v>
      </c>
      <c r="H458" s="18"/>
      <c r="I458" s="56">
        <f t="shared" si="34"/>
        <v>423058.75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346435.25</v>
      </c>
      <c r="G459" s="83">
        <f>SUM(G453:G458)</f>
        <v>76623.5</v>
      </c>
      <c r="H459" s="83">
        <f>SUM(H453:H458)</f>
        <v>0</v>
      </c>
      <c r="I459" s="83">
        <f>SUM(I453:I458)</f>
        <v>423058.75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346435.25</v>
      </c>
      <c r="G460" s="42">
        <f>G451+G459</f>
        <v>76623.5</v>
      </c>
      <c r="H460" s="42">
        <f>H451+H459</f>
        <v>0</v>
      </c>
      <c r="I460" s="42">
        <f>I451+I459</f>
        <v>423058.75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518280.18</v>
      </c>
      <c r="G464" s="18">
        <v>3187.4</v>
      </c>
      <c r="H464" s="18">
        <v>0</v>
      </c>
      <c r="I464" s="18">
        <v>72976.820000000007</v>
      </c>
      <c r="J464" s="18">
        <v>455548.59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10229832.640000001</v>
      </c>
      <c r="G467" s="18">
        <v>168222.48</v>
      </c>
      <c r="H467" s="18">
        <v>35000</v>
      </c>
      <c r="I467" s="18">
        <v>0</v>
      </c>
      <c r="J467" s="18">
        <v>50338.54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10229832.640000001</v>
      </c>
      <c r="G469" s="53">
        <f>SUM(G467:G468)</f>
        <v>168222.48</v>
      </c>
      <c r="H469" s="53">
        <f>SUM(H467:H468)</f>
        <v>35000</v>
      </c>
      <c r="I469" s="53">
        <f>SUM(I467:I468)</f>
        <v>0</v>
      </c>
      <c r="J469" s="53">
        <f>SUM(J467:J468)</f>
        <v>50338.54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10520728.359999999</v>
      </c>
      <c r="G471" s="18">
        <v>168222.48</v>
      </c>
      <c r="H471" s="18">
        <v>35000</v>
      </c>
      <c r="I471" s="18"/>
      <c r="J471" s="18">
        <v>82828.38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10520728.359999999</v>
      </c>
      <c r="G473" s="53">
        <f>SUM(G471:G472)</f>
        <v>168222.48</v>
      </c>
      <c r="H473" s="53">
        <f>SUM(H471:H472)</f>
        <v>35000</v>
      </c>
      <c r="I473" s="53">
        <f>SUM(I471:I472)</f>
        <v>0</v>
      </c>
      <c r="J473" s="53">
        <f>SUM(J471:J472)</f>
        <v>82828.38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227384.46000000089</v>
      </c>
      <c r="G475" s="53">
        <f>(G464+G469)- G473</f>
        <v>3187.3999999999942</v>
      </c>
      <c r="H475" s="53">
        <f>(H464+H469)- H473</f>
        <v>0</v>
      </c>
      <c r="I475" s="53">
        <f>(I464+I469)- I473</f>
        <v>72976.820000000007</v>
      </c>
      <c r="J475" s="53">
        <f>(J464+J469)- J473</f>
        <v>423058.75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5600000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3.99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5060000</v>
      </c>
      <c r="G494" s="18"/>
      <c r="H494" s="18"/>
      <c r="I494" s="18"/>
      <c r="J494" s="18"/>
      <c r="K494" s="53">
        <f>SUM(F494:J494)</f>
        <v>5060000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226937.5</v>
      </c>
      <c r="G496" s="18"/>
      <c r="H496" s="18"/>
      <c r="I496" s="18"/>
      <c r="J496" s="18"/>
      <c r="K496" s="53">
        <f t="shared" si="35"/>
        <v>226937.5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4833062.5</v>
      </c>
      <c r="G497" s="204"/>
      <c r="H497" s="204"/>
      <c r="I497" s="204"/>
      <c r="J497" s="204"/>
      <c r="K497" s="205">
        <f t="shared" si="35"/>
        <v>4833062.5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2420206.25</v>
      </c>
      <c r="G498" s="18"/>
      <c r="H498" s="18"/>
      <c r="I498" s="18"/>
      <c r="J498" s="18"/>
      <c r="K498" s="53">
        <f t="shared" si="35"/>
        <v>2420206.25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7253268.75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7253268.75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185000</v>
      </c>
      <c r="G500" s="204"/>
      <c r="H500" s="204"/>
      <c r="I500" s="204"/>
      <c r="J500" s="204"/>
      <c r="K500" s="205">
        <f t="shared" si="35"/>
        <v>185000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112118.75+109343.75</f>
        <v>221462.5</v>
      </c>
      <c r="G501" s="18"/>
      <c r="H501" s="18"/>
      <c r="I501" s="18"/>
      <c r="J501" s="18"/>
      <c r="K501" s="53">
        <f t="shared" si="35"/>
        <v>221462.5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406462.5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406462.5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228963.17+351034.34+22861.44+4795+10815+18099.18</f>
        <v>636568.13</v>
      </c>
      <c r="G520" s="18">
        <f>275114.47+8174.6+264.6+7000+1000+44404.72+31324.23+25974.6+2458.54+582.25</f>
        <v>396298.00999999983</v>
      </c>
      <c r="H520" s="18">
        <f>1136.61+8417.01+1150</f>
        <v>10703.62</v>
      </c>
      <c r="I520" s="18">
        <f>116.33+26.7+200+23.35+696.05+400+544.2+1062.6+700+62.07</f>
        <v>3831.2999999999997</v>
      </c>
      <c r="J520" s="18">
        <f>700+9.22</f>
        <v>709.22</v>
      </c>
      <c r="K520" s="18">
        <v>247.5</v>
      </c>
      <c r="L520" s="88">
        <f>SUM(F520:K520)</f>
        <v>1048357.7799999999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840+1255+690+298834.74+372639</f>
        <v>674258.74</v>
      </c>
      <c r="I522" s="18"/>
      <c r="J522" s="18"/>
      <c r="K522" s="18"/>
      <c r="L522" s="88">
        <f>SUM(F522:K522)</f>
        <v>674258.74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636568.13</v>
      </c>
      <c r="G523" s="108">
        <f t="shared" ref="G523:L523" si="36">SUM(G520:G522)</f>
        <v>396298.00999999983</v>
      </c>
      <c r="H523" s="108">
        <f t="shared" si="36"/>
        <v>684962.36</v>
      </c>
      <c r="I523" s="108">
        <f t="shared" si="36"/>
        <v>3831.2999999999997</v>
      </c>
      <c r="J523" s="108">
        <f t="shared" si="36"/>
        <v>709.22</v>
      </c>
      <c r="K523" s="108">
        <f t="shared" si="36"/>
        <v>247.5</v>
      </c>
      <c r="L523" s="89">
        <f t="shared" si="36"/>
        <v>1722616.52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107425.88-24364.5</f>
        <v>83061.38</v>
      </c>
      <c r="I525" s="18"/>
      <c r="J525" s="18"/>
      <c r="K525" s="18"/>
      <c r="L525" s="88">
        <f>SUM(F525:K525)</f>
        <v>83061.38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24364.5</v>
      </c>
      <c r="I527" s="18"/>
      <c r="J527" s="18"/>
      <c r="K527" s="18"/>
      <c r="L527" s="88">
        <f>SUM(F527:K527)</f>
        <v>24364.5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107425.88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107425.88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39225.78</v>
      </c>
      <c r="I530" s="18"/>
      <c r="J530" s="18"/>
      <c r="K530" s="18"/>
      <c r="L530" s="88">
        <f>SUM(F530:K530)</f>
        <v>39225.78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24347.03</v>
      </c>
      <c r="I532" s="18"/>
      <c r="J532" s="18"/>
      <c r="K532" s="18"/>
      <c r="L532" s="88">
        <f>SUM(F532:K532)</f>
        <v>24347.03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63572.81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63572.81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94837.25-11927</f>
        <v>82910.25</v>
      </c>
      <c r="I540" s="18"/>
      <c r="J540" s="18"/>
      <c r="K540" s="18"/>
      <c r="L540" s="88">
        <f>SUM(F540:K540)</f>
        <v>82910.25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1782+2760+4600+2615+170</f>
        <v>11927</v>
      </c>
      <c r="I542" s="18"/>
      <c r="J542" s="18"/>
      <c r="K542" s="18"/>
      <c r="L542" s="88">
        <f>SUM(F542:K542)</f>
        <v>11927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94837.25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94837.25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636568.13</v>
      </c>
      <c r="G544" s="89">
        <f t="shared" ref="G544:L544" si="41">G523+G528+G533+G538+G543</f>
        <v>396298.00999999983</v>
      </c>
      <c r="H544" s="89">
        <f t="shared" si="41"/>
        <v>950798.3</v>
      </c>
      <c r="I544" s="89">
        <f t="shared" si="41"/>
        <v>3831.2999999999997</v>
      </c>
      <c r="J544" s="89">
        <f t="shared" si="41"/>
        <v>709.22</v>
      </c>
      <c r="K544" s="89">
        <f t="shared" si="41"/>
        <v>247.5</v>
      </c>
      <c r="L544" s="89">
        <f t="shared" si="41"/>
        <v>1988452.46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1048357.7799999999</v>
      </c>
      <c r="G548" s="87">
        <f>L525</f>
        <v>83061.38</v>
      </c>
      <c r="H548" s="87">
        <f>L530</f>
        <v>39225.78</v>
      </c>
      <c r="I548" s="87">
        <f>L535</f>
        <v>0</v>
      </c>
      <c r="J548" s="87">
        <f>L540</f>
        <v>82910.25</v>
      </c>
      <c r="K548" s="87">
        <f>SUM(F548:J548)</f>
        <v>1253555.19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674258.74</v>
      </c>
      <c r="G550" s="87">
        <f>L527</f>
        <v>24364.5</v>
      </c>
      <c r="H550" s="87">
        <f>L532</f>
        <v>24347.03</v>
      </c>
      <c r="I550" s="87">
        <f>L537</f>
        <v>0</v>
      </c>
      <c r="J550" s="87">
        <f>L542</f>
        <v>11927</v>
      </c>
      <c r="K550" s="87">
        <f>SUM(F550:J550)</f>
        <v>734897.27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1722616.52</v>
      </c>
      <c r="G551" s="89">
        <f t="shared" si="42"/>
        <v>107425.88</v>
      </c>
      <c r="H551" s="89">
        <f t="shared" si="42"/>
        <v>63572.81</v>
      </c>
      <c r="I551" s="89">
        <f t="shared" si="42"/>
        <v>0</v>
      </c>
      <c r="J551" s="89">
        <f t="shared" si="42"/>
        <v>94837.25</v>
      </c>
      <c r="K551" s="89">
        <f t="shared" si="42"/>
        <v>1988452.46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15881</v>
      </c>
      <c r="I574" s="87">
        <f>SUM(F574:H574)</f>
        <v>15881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2946026.39</v>
      </c>
      <c r="I576" s="87">
        <f t="shared" si="47"/>
        <v>2946026.39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690</v>
      </c>
      <c r="I578" s="87">
        <f t="shared" si="47"/>
        <v>690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298834.74</v>
      </c>
      <c r="I580" s="87">
        <f t="shared" si="47"/>
        <v>298834.74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372639</v>
      </c>
      <c r="I581" s="87">
        <f t="shared" si="47"/>
        <v>372639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144253.03</f>
        <v>144253.03</v>
      </c>
      <c r="I590" s="18"/>
      <c r="J590" s="18">
        <v>137239.25</v>
      </c>
      <c r="K590" s="104">
        <f t="shared" ref="K590:K596" si="48">SUM(H590:J590)</f>
        <v>281492.28000000003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94837.25-1782-2760-4600-2615-170</f>
        <v>82910.25</v>
      </c>
      <c r="I591" s="18"/>
      <c r="J591" s="18">
        <v>11927</v>
      </c>
      <c r="K591" s="104">
        <f t="shared" si="48"/>
        <v>94837.25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2691.57</v>
      </c>
      <c r="I593" s="18"/>
      <c r="J593" s="18"/>
      <c r="K593" s="104">
        <f t="shared" si="48"/>
        <v>2691.57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483.61</v>
      </c>
      <c r="I594" s="18"/>
      <c r="J594" s="18"/>
      <c r="K594" s="104">
        <f t="shared" si="48"/>
        <v>483.61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230338.46</v>
      </c>
      <c r="I597" s="108">
        <f>SUM(I590:I596)</f>
        <v>0</v>
      </c>
      <c r="J597" s="108">
        <f>SUM(J590:J596)</f>
        <v>149166.25</v>
      </c>
      <c r="K597" s="108">
        <f>SUM(K590:K596)</f>
        <v>379504.71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67668.37</v>
      </c>
      <c r="I603" s="18"/>
      <c r="J603" s="18"/>
      <c r="K603" s="104">
        <f>SUM(H603:J603)</f>
        <v>67668.37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67668.37</v>
      </c>
      <c r="I604" s="108">
        <f>SUM(I601:I603)</f>
        <v>0</v>
      </c>
      <c r="J604" s="108">
        <f>SUM(J601:J603)</f>
        <v>0</v>
      </c>
      <c r="K604" s="108">
        <f>SUM(K601:K603)</f>
        <v>67668.37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9900+5400</f>
        <v>15300</v>
      </c>
      <c r="G610" s="18">
        <f>1170.46+237.6+1322.1</f>
        <v>2730.16</v>
      </c>
      <c r="H610" s="18"/>
      <c r="I610" s="18"/>
      <c r="J610" s="18"/>
      <c r="K610" s="18"/>
      <c r="L610" s="88">
        <f>SUM(F610:K610)</f>
        <v>18030.16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15300</v>
      </c>
      <c r="G613" s="108">
        <f t="shared" si="49"/>
        <v>2730.16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18030.16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389331.63000000006</v>
      </c>
      <c r="H616" s="109">
        <f>SUM(F51)</f>
        <v>389331.63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10976.55</v>
      </c>
      <c r="H617" s="109">
        <f>SUM(G51)</f>
        <v>10976.55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72976.820000000007</v>
      </c>
      <c r="H619" s="109">
        <f>SUM(I51)</f>
        <v>72976.820000000007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423058.75</v>
      </c>
      <c r="H620" s="109">
        <f>SUM(J51)</f>
        <v>423058.75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227384.46</v>
      </c>
      <c r="H621" s="109">
        <f>F475</f>
        <v>227384.46000000089</v>
      </c>
      <c r="I621" s="121" t="s">
        <v>101</v>
      </c>
      <c r="J621" s="109">
        <f t="shared" ref="J621:J654" si="50">G621-H621</f>
        <v>-9.0221874415874481E-10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3187.4</v>
      </c>
      <c r="H622" s="109">
        <f>G475</f>
        <v>3187.3999999999942</v>
      </c>
      <c r="I622" s="121" t="s">
        <v>102</v>
      </c>
      <c r="J622" s="109">
        <f t="shared" si="50"/>
        <v>5.9117155615240335E-12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72976.820000000007</v>
      </c>
      <c r="H624" s="109">
        <f>I475</f>
        <v>72976.820000000007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423058.75</v>
      </c>
      <c r="H625" s="109">
        <f>J475</f>
        <v>423058.75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10229832.640000001</v>
      </c>
      <c r="H626" s="104">
        <f>SUM(F467)</f>
        <v>10229832.640000001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168222.47999999998</v>
      </c>
      <c r="H627" s="104">
        <f>SUM(G467)</f>
        <v>168222.48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35000</v>
      </c>
      <c r="H628" s="104">
        <f>SUM(H467)</f>
        <v>35000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50338.54</v>
      </c>
      <c r="H630" s="104">
        <f>SUM(J467)</f>
        <v>50338.54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10520728.360000001</v>
      </c>
      <c r="H631" s="104">
        <f>SUM(F471)</f>
        <v>10520728.359999999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35000</v>
      </c>
      <c r="H632" s="104">
        <f>SUM(H471)</f>
        <v>35000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87745.27</v>
      </c>
      <c r="H633" s="104">
        <f>I368</f>
        <v>87745.27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168222.48</v>
      </c>
      <c r="H634" s="104">
        <f>SUM(G471)</f>
        <v>168222.48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50338.539999999994</v>
      </c>
      <c r="H636" s="164">
        <f>SUM(J467)</f>
        <v>50338.54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82828.38</v>
      </c>
      <c r="H637" s="164">
        <f>SUM(J471)</f>
        <v>82828.38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346435.25</v>
      </c>
      <c r="H638" s="104">
        <f>SUM(F460)</f>
        <v>346435.25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76623.5</v>
      </c>
      <c r="H639" s="104">
        <f>SUM(G460)</f>
        <v>76623.5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423058.75</v>
      </c>
      <c r="H641" s="104">
        <f>SUM(I460)</f>
        <v>423058.75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338.54</v>
      </c>
      <c r="H643" s="104">
        <f>H407</f>
        <v>338.54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50338.54</v>
      </c>
      <c r="H645" s="104">
        <f>L407</f>
        <v>50338.539999999994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379504.71</v>
      </c>
      <c r="H646" s="104">
        <f>L207+L225+L243</f>
        <v>379504.70999999996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67668.37</v>
      </c>
      <c r="H647" s="104">
        <f>(J256+J337)-(J254+J335)</f>
        <v>67668.37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230338.46</v>
      </c>
      <c r="H648" s="104">
        <f>H597</f>
        <v>230338.46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149166.25</v>
      </c>
      <c r="H650" s="104">
        <f>J597</f>
        <v>149166.25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1741.8</v>
      </c>
      <c r="H651" s="104">
        <f>K262+K344</f>
        <v>1741.8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6259973.7500000009</v>
      </c>
      <c r="G659" s="19">
        <f>(L228+L308+L358)</f>
        <v>0</v>
      </c>
      <c r="H659" s="19">
        <f>(L246+L327+L359)</f>
        <v>3970297.79</v>
      </c>
      <c r="I659" s="19">
        <f>SUM(F659:H659)</f>
        <v>10230271.540000001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103017.4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103017.4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230338.46</v>
      </c>
      <c r="G661" s="19">
        <f>(L225+L305)-(J225+J305)</f>
        <v>0</v>
      </c>
      <c r="H661" s="19">
        <f>(L243+L324)-(J243+J324)</f>
        <v>149166.25</v>
      </c>
      <c r="I661" s="19">
        <f>SUM(F661:H661)</f>
        <v>379504.70999999996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85698.53</v>
      </c>
      <c r="G662" s="199">
        <f>SUM(G574:G586)+SUM(I601:I603)+L611</f>
        <v>0</v>
      </c>
      <c r="H662" s="199">
        <f>SUM(H574:H586)+SUM(J601:J603)+L612</f>
        <v>3634071.13</v>
      </c>
      <c r="I662" s="19">
        <f>SUM(F662:H662)</f>
        <v>3719769.6599999997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5840919.3600000013</v>
      </c>
      <c r="G663" s="19">
        <f>G659-SUM(G660:G662)</f>
        <v>0</v>
      </c>
      <c r="H663" s="19">
        <f>H659-SUM(H660:H662)</f>
        <v>187060.41000000015</v>
      </c>
      <c r="I663" s="19">
        <f>I659-SUM(I660:I662)</f>
        <v>6027979.7700000014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407.39</v>
      </c>
      <c r="G664" s="248"/>
      <c r="H664" s="248"/>
      <c r="I664" s="19">
        <f>SUM(F664:H664)</f>
        <v>407.39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14337.41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14796.58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-187060.41</v>
      </c>
      <c r="I668" s="19">
        <f>SUM(F668:H668)</f>
        <v>-187060.41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14337.41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14337.41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>&amp;CDOE 25 for 2012-2013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6" workbookViewId="0">
      <selection activeCell="C48" sqref="C4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STRAFFORD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1901426.93</v>
      </c>
      <c r="C9" s="229">
        <f>'DOE25'!G196+'DOE25'!G214+'DOE25'!G232+'DOE25'!G275+'DOE25'!G294+'DOE25'!G313</f>
        <v>865127.58000000007</v>
      </c>
    </row>
    <row r="10" spans="1:3" x14ac:dyDescent="0.2">
      <c r="A10" t="s">
        <v>779</v>
      </c>
      <c r="B10" s="240">
        <v>1841780.13</v>
      </c>
      <c r="C10" s="240">
        <f>474264.06+16457.45+1812.49+6898.82+6500+205511.64+3408.38+838.66+8275+135495.94-0.25</f>
        <v>859462.19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f>6608.58+3450+49588.22</f>
        <v>59646.8</v>
      </c>
      <c r="C12" s="240">
        <f>2102.41+3562.98</f>
        <v>5665.3899999999994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1901426.93</v>
      </c>
      <c r="C13" s="231">
        <f>SUM(C10:C12)</f>
        <v>865127.58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636568.13</v>
      </c>
      <c r="C18" s="229">
        <f>'DOE25'!G197+'DOE25'!G215+'DOE25'!G233+'DOE25'!G276+'DOE25'!G295+'DOE25'!G314</f>
        <v>396298.00999999983</v>
      </c>
    </row>
    <row r="19" spans="1:3" x14ac:dyDescent="0.2">
      <c r="A19" t="s">
        <v>779</v>
      </c>
      <c r="B19" s="240">
        <f>228963.17+18099.18</f>
        <v>247062.35</v>
      </c>
      <c r="C19" s="240">
        <f>264.6+1000+25974.6+614.64+145.56+18607.53+17558.32+21548.83+1000+9477.5+17558.32+(478.08*5)</f>
        <v>116140.29999999999</v>
      </c>
    </row>
    <row r="20" spans="1:3" x14ac:dyDescent="0.2">
      <c r="A20" t="s">
        <v>780</v>
      </c>
      <c r="B20" s="240">
        <v>351034.34</v>
      </c>
      <c r="C20" s="240">
        <f>7000+31324.23+1843.9+436.69+22854.12+213755.71</f>
        <v>277214.65000000002</v>
      </c>
    </row>
    <row r="21" spans="1:3" x14ac:dyDescent="0.2">
      <c r="A21" t="s">
        <v>781</v>
      </c>
      <c r="B21" s="240">
        <f>22861.44+4795+10815</f>
        <v>38471.440000000002</v>
      </c>
      <c r="C21" s="240">
        <f>2943.06</f>
        <v>2943.06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636568.13000000012</v>
      </c>
      <c r="C22" s="231">
        <f>SUM(C19:C21)</f>
        <v>396298.01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42250</v>
      </c>
      <c r="C36" s="235">
        <f>'DOE25'!G199+'DOE25'!G217+'DOE25'!G235+'DOE25'!G278+'DOE25'!G297+'DOE25'!G316</f>
        <v>7099.08</v>
      </c>
    </row>
    <row r="37" spans="1:3" x14ac:dyDescent="0.2">
      <c r="A37" t="s">
        <v>779</v>
      </c>
      <c r="B37" s="240">
        <f>900+1100+5500+600+9800+7200+5400</f>
        <v>30500</v>
      </c>
      <c r="C37" s="240">
        <f>2393.25+870.11+1164.48+1322.1</f>
        <v>5749.9400000000005</v>
      </c>
    </row>
    <row r="38" spans="1:3" x14ac:dyDescent="0.2">
      <c r="A38" t="s">
        <v>780</v>
      </c>
      <c r="B38" s="240">
        <f>1300+700+2500+450+2700</f>
        <v>7650</v>
      </c>
      <c r="C38" s="240">
        <f>582.23+215.6+237.6</f>
        <v>1035.43</v>
      </c>
    </row>
    <row r="39" spans="1:3" x14ac:dyDescent="0.2">
      <c r="A39" t="s">
        <v>781</v>
      </c>
      <c r="B39" s="240">
        <f>900+800+2400</f>
        <v>4100</v>
      </c>
      <c r="C39" s="240">
        <v>313.70999999999998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42250</v>
      </c>
      <c r="C40" s="231">
        <f>SUM(C37:C39)</f>
        <v>7099.0800000000008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STRAFFORD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7606086.129999999</v>
      </c>
      <c r="D5" s="20">
        <f>SUM('DOE25'!L196:L199)+SUM('DOE25'!L214:L217)+SUM('DOE25'!L232:L235)-F5-G5</f>
        <v>7577130.419999999</v>
      </c>
      <c r="E5" s="243"/>
      <c r="F5" s="255">
        <f>SUM('DOE25'!J196:J199)+SUM('DOE25'!J214:J217)+SUM('DOE25'!J232:J235)</f>
        <v>26747.25</v>
      </c>
      <c r="G5" s="53">
        <f>SUM('DOE25'!K196:K199)+SUM('DOE25'!K214:K217)+SUM('DOE25'!K232:K235)</f>
        <v>2208.46</v>
      </c>
      <c r="H5" s="259"/>
    </row>
    <row r="6" spans="1:9" x14ac:dyDescent="0.2">
      <c r="A6" s="32">
        <v>2100</v>
      </c>
      <c r="B6" t="s">
        <v>801</v>
      </c>
      <c r="C6" s="245">
        <f t="shared" si="0"/>
        <v>483222</v>
      </c>
      <c r="D6" s="20">
        <f>'DOE25'!L201+'DOE25'!L219+'DOE25'!L237-F6-G6</f>
        <v>483013.39</v>
      </c>
      <c r="E6" s="243"/>
      <c r="F6" s="255">
        <f>'DOE25'!J201+'DOE25'!J219+'DOE25'!J237</f>
        <v>73.61</v>
      </c>
      <c r="G6" s="53">
        <f>'DOE25'!K201+'DOE25'!K219+'DOE25'!K237</f>
        <v>135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207353.18</v>
      </c>
      <c r="D7" s="20">
        <f>'DOE25'!L202+'DOE25'!L220+'DOE25'!L238-F7-G7</f>
        <v>205554.22999999998</v>
      </c>
      <c r="E7" s="243"/>
      <c r="F7" s="255">
        <f>'DOE25'!J202+'DOE25'!J220+'DOE25'!J238</f>
        <v>1798.95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271667.39999999997</v>
      </c>
      <c r="D8" s="243"/>
      <c r="E8" s="20">
        <f>'DOE25'!L203+'DOE25'!L221+'DOE25'!L239-F8-G8-D9-D11</f>
        <v>265788.09999999998</v>
      </c>
      <c r="F8" s="255">
        <f>'DOE25'!J203+'DOE25'!J221+'DOE25'!J239</f>
        <v>0</v>
      </c>
      <c r="G8" s="53">
        <f>'DOE25'!K203+'DOE25'!K221+'DOE25'!K239</f>
        <v>5879.3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24999.47</v>
      </c>
      <c r="D9" s="244">
        <v>24999.47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9000</v>
      </c>
      <c r="D10" s="243"/>
      <c r="E10" s="244">
        <v>9000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65853.009999999995</v>
      </c>
      <c r="D11" s="244">
        <v>65853.009999999995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430677.19000000006</v>
      </c>
      <c r="D12" s="20">
        <f>'DOE25'!L204+'DOE25'!L222+'DOE25'!L240-F12-G12</f>
        <v>427127.11000000004</v>
      </c>
      <c r="E12" s="243"/>
      <c r="F12" s="255">
        <f>'DOE25'!J204+'DOE25'!J222+'DOE25'!J240</f>
        <v>0</v>
      </c>
      <c r="G12" s="53">
        <f>'DOE25'!K204+'DOE25'!K222+'DOE25'!K240</f>
        <v>3550.08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71535.959999999992</v>
      </c>
      <c r="D13" s="243"/>
      <c r="E13" s="20">
        <f>'DOE25'!L205+'DOE25'!L223+'DOE25'!L241-F13-G13</f>
        <v>71535.959999999992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521150.00999999995</v>
      </c>
      <c r="D14" s="20">
        <f>'DOE25'!L206+'DOE25'!L224+'DOE25'!L242-F14-G14</f>
        <v>482101.44999999995</v>
      </c>
      <c r="E14" s="243"/>
      <c r="F14" s="255">
        <f>'DOE25'!J206+'DOE25'!J224+'DOE25'!J242</f>
        <v>39048.559999999998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379504.70999999996</v>
      </c>
      <c r="D15" s="20">
        <f>'DOE25'!L207+'DOE25'!L225+'DOE25'!L243-F15-G15</f>
        <v>379504.70999999996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35000</v>
      </c>
      <c r="D22" s="243"/>
      <c r="E22" s="243"/>
      <c r="F22" s="255">
        <f>'DOE25'!L254+'DOE25'!L335</f>
        <v>35000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406937.5</v>
      </c>
      <c r="D25" s="243"/>
      <c r="E25" s="243"/>
      <c r="F25" s="258"/>
      <c r="G25" s="256"/>
      <c r="H25" s="257">
        <f>'DOE25'!L259+'DOE25'!L260+'DOE25'!L340+'DOE25'!L341</f>
        <v>406937.5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84212.030000000013</v>
      </c>
      <c r="D29" s="20">
        <f>'DOE25'!L357+'DOE25'!L358+'DOE25'!L359-'DOE25'!I366-F29-G29</f>
        <v>83809.630000000019</v>
      </c>
      <c r="E29" s="243"/>
      <c r="F29" s="255">
        <f>'DOE25'!J357+'DOE25'!J358+'DOE25'!J359</f>
        <v>357.15</v>
      </c>
      <c r="G29" s="53">
        <f>'DOE25'!K357+'DOE25'!K358+'DOE25'!K359</f>
        <v>45.25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9729093.4199999999</v>
      </c>
      <c r="E33" s="246">
        <f>SUM(E5:E31)</f>
        <v>346324.05999999994</v>
      </c>
      <c r="F33" s="246">
        <f>SUM(F5:F31)</f>
        <v>103025.51999999999</v>
      </c>
      <c r="G33" s="246">
        <f>SUM(G5:G31)</f>
        <v>11818.09</v>
      </c>
      <c r="H33" s="246">
        <f>SUM(H5:H31)</f>
        <v>406937.5</v>
      </c>
    </row>
    <row r="35" spans="2:8" ht="12" thickBot="1" x14ac:dyDescent="0.25">
      <c r="B35" s="253" t="s">
        <v>847</v>
      </c>
      <c r="D35" s="254">
        <f>E33</f>
        <v>346324.05999999994</v>
      </c>
      <c r="E35" s="249"/>
    </row>
    <row r="36" spans="2:8" ht="12" thickTop="1" x14ac:dyDescent="0.2">
      <c r="B36" t="s">
        <v>815</v>
      </c>
      <c r="D36" s="20">
        <f>D33</f>
        <v>9729093.4199999999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STRAFFORD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378878.14</v>
      </c>
      <c r="D8" s="95">
        <f>'DOE25'!G9</f>
        <v>0</v>
      </c>
      <c r="E8" s="95">
        <f>'DOE25'!H9</f>
        <v>0</v>
      </c>
      <c r="F8" s="95">
        <f>'DOE25'!I9</f>
        <v>72976.820000000007</v>
      </c>
      <c r="G8" s="95">
        <f>'DOE25'!J9</f>
        <v>423058.75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7789.15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9891.7999999999993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2664.34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1084.75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389331.63000000006</v>
      </c>
      <c r="D18" s="41">
        <f>SUM(D8:D17)</f>
        <v>10976.55</v>
      </c>
      <c r="E18" s="41">
        <f>SUM(E8:E17)</f>
        <v>0</v>
      </c>
      <c r="F18" s="41">
        <f>SUM(F8:F17)</f>
        <v>72976.820000000007</v>
      </c>
      <c r="G18" s="41">
        <f>SUM(G8:G17)</f>
        <v>423058.75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72976.820000000007</v>
      </c>
      <c r="D21" s="95">
        <f>'DOE25'!G22</f>
        <v>7789.15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47856.160000000003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41114.189999999995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161947.17000000001</v>
      </c>
      <c r="D31" s="41">
        <f>SUM(D21:D30)</f>
        <v>7789.15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1084.75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2102.65</v>
      </c>
      <c r="E46" s="95">
        <f>'DOE25'!H47</f>
        <v>0</v>
      </c>
      <c r="F46" s="95">
        <f>'DOE25'!I47</f>
        <v>72976.820000000007</v>
      </c>
      <c r="G46" s="95">
        <f>'DOE25'!J47</f>
        <v>423058.75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227384.46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227384.46</v>
      </c>
      <c r="D49" s="41">
        <f>SUM(D34:D48)</f>
        <v>3187.4</v>
      </c>
      <c r="E49" s="41">
        <f>SUM(E34:E48)</f>
        <v>0</v>
      </c>
      <c r="F49" s="41">
        <f>SUM(F34:F48)</f>
        <v>72976.820000000007</v>
      </c>
      <c r="G49" s="41">
        <f>SUM(G34:G48)</f>
        <v>423058.75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389331.63</v>
      </c>
      <c r="D50" s="41">
        <f>D49+D31</f>
        <v>10976.55</v>
      </c>
      <c r="E50" s="41">
        <f>E49+E31</f>
        <v>0</v>
      </c>
      <c r="F50" s="41">
        <f>F49+F31</f>
        <v>72976.820000000007</v>
      </c>
      <c r="G50" s="41">
        <f>G49+G31</f>
        <v>423058.75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6733132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565.95000000000005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338.54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103017.4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4969.04</v>
      </c>
      <c r="D60" s="95">
        <f>SUM('DOE25'!G97:G109)</f>
        <v>0</v>
      </c>
      <c r="E60" s="95">
        <f>SUM('DOE25'!H97:H109)</f>
        <v>35000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5534.99</v>
      </c>
      <c r="D61" s="130">
        <f>SUM(D56:D60)</f>
        <v>103017.4</v>
      </c>
      <c r="E61" s="130">
        <f>SUM(E56:E60)</f>
        <v>35000</v>
      </c>
      <c r="F61" s="130">
        <f>SUM(F56:F60)</f>
        <v>0</v>
      </c>
      <c r="G61" s="130">
        <f>SUM(G56:G60)</f>
        <v>338.54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6738666.9900000002</v>
      </c>
      <c r="D62" s="22">
        <f>D55+D61</f>
        <v>103017.4</v>
      </c>
      <c r="E62" s="22">
        <f>E55+E61</f>
        <v>35000</v>
      </c>
      <c r="F62" s="22">
        <f>F55+F61</f>
        <v>0</v>
      </c>
      <c r="G62" s="22">
        <f>G55+G61</f>
        <v>338.54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2279185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1062009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3341194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59482.5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7666.73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2571.2199999999998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67149.23</v>
      </c>
      <c r="D77" s="130">
        <f>SUM(D71:D76)</f>
        <v>2571.2199999999998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3408343.23</v>
      </c>
      <c r="D80" s="130">
        <f>SUM(D78:D79)+D77+D69</f>
        <v>2571.2199999999998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82822.42</v>
      </c>
      <c r="D87" s="95">
        <f>SUM('DOE25'!G152:G160)</f>
        <v>60892.06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82822.42</v>
      </c>
      <c r="D90" s="131">
        <f>SUM(D84:D89)</f>
        <v>60892.06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1741.8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1741.8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10229832.640000001</v>
      </c>
      <c r="D103" s="86">
        <f>D62+D80+D90+D102</f>
        <v>168222.47999999998</v>
      </c>
      <c r="E103" s="86">
        <f>E62+E80+E90+E102</f>
        <v>35000</v>
      </c>
      <c r="F103" s="86">
        <f>F62+F80+F90+F102</f>
        <v>0</v>
      </c>
      <c r="G103" s="86">
        <f>G62+G80+G102</f>
        <v>50338.54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5824640.9199999999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1722616.52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58828.69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7606086.1299999999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483222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207353.18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362519.88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430677.19000000006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71535.959999999992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521150.00999999995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379504.70999999996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168222.48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2455962.9299999997</v>
      </c>
      <c r="D127" s="86">
        <f>SUM(D117:D126)</f>
        <v>168222.48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35000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226937.5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1741.8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25275.87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25062.67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-338.5399999999936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458679.3</v>
      </c>
      <c r="D143" s="141">
        <f>SUM(D129:D142)</f>
        <v>0</v>
      </c>
      <c r="E143" s="141">
        <f>SUM(E129:E142)</f>
        <v>35000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10520728.359999999</v>
      </c>
      <c r="D144" s="86">
        <f>(D114+D127+D143)</f>
        <v>168222.48</v>
      </c>
      <c r="E144" s="86">
        <f>(E114+E127+E143)</f>
        <v>35000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8/30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5600000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3.99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5060000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5060000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226937.5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226937.5</v>
      </c>
    </row>
    <row r="158" spans="1:9" x14ac:dyDescent="0.2">
      <c r="A158" s="22" t="s">
        <v>35</v>
      </c>
      <c r="B158" s="137">
        <f>'DOE25'!F497</f>
        <v>4833062.5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4833062.5</v>
      </c>
    </row>
    <row r="159" spans="1:9" x14ac:dyDescent="0.2">
      <c r="A159" s="22" t="s">
        <v>36</v>
      </c>
      <c r="B159" s="137">
        <f>'DOE25'!F498</f>
        <v>2420206.25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2420206.25</v>
      </c>
    </row>
    <row r="160" spans="1:9" x14ac:dyDescent="0.2">
      <c r="A160" s="22" t="s">
        <v>37</v>
      </c>
      <c r="B160" s="137">
        <f>'DOE25'!F499</f>
        <v>7253268.75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7253268.75</v>
      </c>
    </row>
    <row r="161" spans="1:7" x14ac:dyDescent="0.2">
      <c r="A161" s="22" t="s">
        <v>38</v>
      </c>
      <c r="B161" s="137">
        <f>'DOE25'!F500</f>
        <v>185000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185000</v>
      </c>
    </row>
    <row r="162" spans="1:7" x14ac:dyDescent="0.2">
      <c r="A162" s="22" t="s">
        <v>39</v>
      </c>
      <c r="B162" s="137">
        <f>'DOE25'!F501</f>
        <v>221462.5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221462.5</v>
      </c>
    </row>
    <row r="163" spans="1:7" x14ac:dyDescent="0.2">
      <c r="A163" s="22" t="s">
        <v>246</v>
      </c>
      <c r="B163" s="137">
        <f>'DOE25'!F502</f>
        <v>406462.5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406462.5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A45" sqref="A4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STRAFFORD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14337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14337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5824641</v>
      </c>
      <c r="D10" s="182">
        <f>ROUND((C10/$C$28)*100,1)</f>
        <v>56.5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1722617</v>
      </c>
      <c r="D11" s="182">
        <f>ROUND((C11/$C$28)*100,1)</f>
        <v>16.7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58829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483222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207353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362520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430677</v>
      </c>
      <c r="D18" s="182">
        <f t="shared" si="0"/>
        <v>4.2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71536</v>
      </c>
      <c r="D19" s="182">
        <f t="shared" si="0"/>
        <v>0.7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521150</v>
      </c>
      <c r="D20" s="182">
        <f t="shared" si="0"/>
        <v>5.0999999999999996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379505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180000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65204.600000000006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10307254.6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35000</v>
      </c>
    </row>
    <row r="30" spans="1:4" x14ac:dyDescent="0.2">
      <c r="B30" s="187" t="s">
        <v>729</v>
      </c>
      <c r="C30" s="180">
        <f>SUM(C28:C29)</f>
        <v>10342254.6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226938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6733132</v>
      </c>
      <c r="D35" s="182">
        <f t="shared" ref="D35:D40" si="1">ROUND((C35/$C$41)*100,1)</f>
        <v>65.2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40873.530000000261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3341194</v>
      </c>
      <c r="D37" s="182">
        <f t="shared" si="1"/>
        <v>32.299999999999997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69720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143714</v>
      </c>
      <c r="D39" s="182">
        <f t="shared" si="1"/>
        <v>1.4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10328633.530000001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sqref="A1:I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STRAFFORD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2013-09-27T17:54:38Z</cp:lastPrinted>
  <dcterms:created xsi:type="dcterms:W3CDTF">1997-12-04T19:04:30Z</dcterms:created>
  <dcterms:modified xsi:type="dcterms:W3CDTF">2013-11-13T18:06:59Z</dcterms:modified>
</cp:coreProperties>
</file>