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C13" i="12" s="1"/>
  <c r="B10" i="12"/>
  <c r="B13" i="12" s="1"/>
  <c r="C37" i="12"/>
  <c r="C40" i="12" s="1"/>
  <c r="C19" i="12"/>
  <c r="B20" i="12"/>
  <c r="B19" i="12"/>
  <c r="C11" i="12"/>
  <c r="B11" i="12"/>
  <c r="H603" i="1"/>
  <c r="K603" i="1"/>
  <c r="H527" i="1"/>
  <c r="H520" i="1"/>
  <c r="H523" i="1" s="1"/>
  <c r="I520" i="1"/>
  <c r="I523" i="1" s="1"/>
  <c r="I544" i="1" s="1"/>
  <c r="H197" i="1"/>
  <c r="H233" i="1"/>
  <c r="H525" i="1"/>
  <c r="G520" i="1"/>
  <c r="F520" i="1"/>
  <c r="J357" i="1"/>
  <c r="F29" i="13"/>
  <c r="H357" i="1"/>
  <c r="H361" i="1"/>
  <c r="K275" i="1"/>
  <c r="I275" i="1"/>
  <c r="H275" i="1"/>
  <c r="G275" i="1"/>
  <c r="F275" i="1"/>
  <c r="J275" i="1"/>
  <c r="F204" i="1"/>
  <c r="H207" i="1"/>
  <c r="L207" i="1" s="1"/>
  <c r="H243" i="1"/>
  <c r="J206" i="1"/>
  <c r="I206" i="1"/>
  <c r="H206" i="1"/>
  <c r="G206" i="1"/>
  <c r="F206" i="1"/>
  <c r="H204" i="1"/>
  <c r="K204" i="1"/>
  <c r="J204" i="1"/>
  <c r="I204" i="1"/>
  <c r="G204" i="1"/>
  <c r="H203" i="1"/>
  <c r="H239" i="1"/>
  <c r="H202" i="1"/>
  <c r="K202" i="1"/>
  <c r="J202" i="1"/>
  <c r="I202" i="1"/>
  <c r="G202" i="1"/>
  <c r="F202" i="1"/>
  <c r="I201" i="1"/>
  <c r="H201" i="1"/>
  <c r="G201" i="1"/>
  <c r="G199" i="1"/>
  <c r="F199" i="1"/>
  <c r="B36" i="12" s="1"/>
  <c r="I197" i="1"/>
  <c r="G197" i="1"/>
  <c r="F197" i="1"/>
  <c r="G196" i="1"/>
  <c r="J196" i="1"/>
  <c r="F5" i="13"/>
  <c r="K196" i="1"/>
  <c r="I196" i="1"/>
  <c r="H196" i="1"/>
  <c r="F196" i="1"/>
  <c r="L196" i="1" s="1"/>
  <c r="F12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D39" i="13"/>
  <c r="F13" i="13"/>
  <c r="G13" i="13"/>
  <c r="L205" i="1"/>
  <c r="L223" i="1"/>
  <c r="L241" i="1"/>
  <c r="F16" i="13"/>
  <c r="G16" i="13"/>
  <c r="L208" i="1"/>
  <c r="L226" i="1"/>
  <c r="L244" i="1"/>
  <c r="G5" i="13"/>
  <c r="L198" i="1"/>
  <c r="L199" i="1"/>
  <c r="L214" i="1"/>
  <c r="L215" i="1"/>
  <c r="L216" i="1"/>
  <c r="L217" i="1"/>
  <c r="C111" i="2" s="1"/>
  <c r="L232" i="1"/>
  <c r="L233" i="1"/>
  <c r="L234" i="1"/>
  <c r="L235" i="1"/>
  <c r="F6" i="13"/>
  <c r="G6" i="13"/>
  <c r="L219" i="1"/>
  <c r="L237" i="1"/>
  <c r="F7" i="13"/>
  <c r="G7" i="13"/>
  <c r="L220" i="1"/>
  <c r="L238" i="1"/>
  <c r="F12" i="13"/>
  <c r="G12" i="13"/>
  <c r="L222" i="1"/>
  <c r="L240" i="1"/>
  <c r="F14" i="13"/>
  <c r="G14" i="13"/>
  <c r="L206" i="1"/>
  <c r="L224" i="1"/>
  <c r="L242" i="1"/>
  <c r="C122" i="2" s="1"/>
  <c r="F15" i="13"/>
  <c r="G15" i="13"/>
  <c r="L225" i="1"/>
  <c r="L243" i="1"/>
  <c r="F17" i="13"/>
  <c r="G17" i="13"/>
  <c r="L250" i="1"/>
  <c r="F18" i="13"/>
  <c r="G18" i="13"/>
  <c r="L251" i="1"/>
  <c r="F19" i="13"/>
  <c r="G19" i="13"/>
  <c r="L252" i="1"/>
  <c r="G29" i="13"/>
  <c r="L358" i="1"/>
  <c r="L359" i="1"/>
  <c r="I366" i="1"/>
  <c r="J289" i="1"/>
  <c r="J337" i="1" s="1"/>
  <c r="J351" i="1" s="1"/>
  <c r="J308" i="1"/>
  <c r="J327" i="1"/>
  <c r="K289" i="1"/>
  <c r="K308" i="1"/>
  <c r="K327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C36" i="12"/>
  <c r="B40" i="12"/>
  <c r="B27" i="12"/>
  <c r="C27" i="12"/>
  <c r="B31" i="12"/>
  <c r="C31" i="12"/>
  <c r="B9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 s="1"/>
  <c r="C40" i="10"/>
  <c r="F59" i="1"/>
  <c r="G59" i="1"/>
  <c r="H59" i="1"/>
  <c r="I59" i="1"/>
  <c r="I111" i="1" s="1"/>
  <c r="F78" i="1"/>
  <c r="C56" i="2"/>
  <c r="F93" i="1"/>
  <c r="F110" i="1"/>
  <c r="G110" i="1"/>
  <c r="G111" i="1"/>
  <c r="H78" i="1"/>
  <c r="H93" i="1"/>
  <c r="H110" i="1"/>
  <c r="I110" i="1"/>
  <c r="J110" i="1"/>
  <c r="J111" i="1" s="1"/>
  <c r="F120" i="1"/>
  <c r="F135" i="1"/>
  <c r="G120" i="1"/>
  <c r="G135" i="1"/>
  <c r="G139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2" i="10"/>
  <c r="C19" i="10"/>
  <c r="L249" i="1"/>
  <c r="L331" i="1"/>
  <c r="C23" i="10"/>
  <c r="L253" i="1"/>
  <c r="C25" i="10"/>
  <c r="L267" i="1"/>
  <c r="L268" i="1"/>
  <c r="L348" i="1"/>
  <c r="L349" i="1"/>
  <c r="I664" i="1"/>
  <c r="I669" i="1"/>
  <c r="L228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1" i="1"/>
  <c r="F549" i="1" s="1"/>
  <c r="L522" i="1"/>
  <c r="F550" i="1" s="1"/>
  <c r="L525" i="1"/>
  <c r="G548" i="1" s="1"/>
  <c r="L526" i="1"/>
  <c r="G549" i="1" s="1"/>
  <c r="L527" i="1"/>
  <c r="L530" i="1"/>
  <c r="H548" i="1" s="1"/>
  <c r="H551" i="1" s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G12" i="2" s="1"/>
  <c r="C13" i="2"/>
  <c r="D13" i="2"/>
  <c r="E13" i="2"/>
  <c r="F13" i="2"/>
  <c r="I442" i="1"/>
  <c r="J14" i="1"/>
  <c r="G13" i="2" s="1"/>
  <c r="F14" i="2"/>
  <c r="C15" i="2"/>
  <c r="D15" i="2"/>
  <c r="D18" i="2" s="1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E90" i="2" s="1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G102" i="2" s="1"/>
  <c r="C97" i="2"/>
  <c r="D97" i="2"/>
  <c r="D102" i="2" s="1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621" i="1"/>
  <c r="G50" i="1"/>
  <c r="G51" i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G644" i="1" s="1"/>
  <c r="J191" i="1"/>
  <c r="F187" i="1"/>
  <c r="G187" i="1"/>
  <c r="H187" i="1"/>
  <c r="I187" i="1"/>
  <c r="H210" i="1"/>
  <c r="I210" i="1"/>
  <c r="I256" i="1" s="1"/>
  <c r="I270" i="1" s="1"/>
  <c r="J210" i="1"/>
  <c r="K210" i="1"/>
  <c r="F228" i="1"/>
  <c r="G228" i="1"/>
  <c r="H228" i="1"/>
  <c r="I228" i="1"/>
  <c r="J228" i="1"/>
  <c r="J256" i="1" s="1"/>
  <c r="K228" i="1"/>
  <c r="F246" i="1"/>
  <c r="G246" i="1"/>
  <c r="I246" i="1"/>
  <c r="J246" i="1"/>
  <c r="K246" i="1"/>
  <c r="F255" i="1"/>
  <c r="G255" i="1"/>
  <c r="H255" i="1"/>
  <c r="I255" i="1"/>
  <c r="J255" i="1"/>
  <c r="K255" i="1"/>
  <c r="L269" i="1"/>
  <c r="F289" i="1"/>
  <c r="F337" i="1" s="1"/>
  <c r="F351" i="1" s="1"/>
  <c r="G289" i="1"/>
  <c r="H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/>
  <c r="K351" i="1" s="1"/>
  <c r="F361" i="1"/>
  <c r="G361" i="1"/>
  <c r="I361" i="1"/>
  <c r="J361" i="1"/>
  <c r="K361" i="1"/>
  <c r="I367" i="1"/>
  <c r="F368" i="1"/>
  <c r="G368" i="1"/>
  <c r="H368" i="1"/>
  <c r="L380" i="1"/>
  <c r="L381" i="1"/>
  <c r="G635" i="1" s="1"/>
  <c r="F381" i="1"/>
  <c r="G381" i="1"/>
  <c r="H381" i="1"/>
  <c r="I381" i="1"/>
  <c r="J381" i="1"/>
  <c r="K381" i="1"/>
  <c r="F392" i="1"/>
  <c r="F407" i="1" s="1"/>
  <c r="H642" i="1" s="1"/>
  <c r="G392" i="1"/>
  <c r="H392" i="1"/>
  <c r="H407" i="1" s="1"/>
  <c r="H643" i="1" s="1"/>
  <c r="I392" i="1"/>
  <c r="F400" i="1"/>
  <c r="G400" i="1"/>
  <c r="H400" i="1"/>
  <c r="I400" i="1"/>
  <c r="F406" i="1"/>
  <c r="G406" i="1"/>
  <c r="H406" i="1"/>
  <c r="I406" i="1"/>
  <c r="G407" i="1"/>
  <c r="H644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G460" i="1" s="1"/>
  <c r="H639" i="1" s="1"/>
  <c r="H451" i="1"/>
  <c r="I451" i="1"/>
  <c r="I460" i="1" s="1"/>
  <c r="H641" i="1" s="1"/>
  <c r="F459" i="1"/>
  <c r="G459" i="1"/>
  <c r="H459" i="1"/>
  <c r="I459" i="1"/>
  <c r="F460" i="1"/>
  <c r="H460" i="1"/>
  <c r="F469" i="1"/>
  <c r="G469" i="1"/>
  <c r="H469" i="1"/>
  <c r="I469" i="1"/>
  <c r="J469" i="1"/>
  <c r="J475" i="1"/>
  <c r="H625" i="1" s="1"/>
  <c r="F473" i="1"/>
  <c r="F475" i="1" s="1"/>
  <c r="H621" i="1" s="1"/>
  <c r="G473" i="1"/>
  <c r="H473" i="1"/>
  <c r="H475" i="1" s="1"/>
  <c r="H623" i="1" s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G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2" i="1"/>
  <c r="G623" i="1"/>
  <c r="J623" i="1" s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2" i="1"/>
  <c r="G643" i="1"/>
  <c r="J643" i="1" s="1"/>
  <c r="G649" i="1"/>
  <c r="G650" i="1"/>
  <c r="G651" i="1"/>
  <c r="H651" i="1"/>
  <c r="G652" i="1"/>
  <c r="H652" i="1"/>
  <c r="G653" i="1"/>
  <c r="H653" i="1"/>
  <c r="H654" i="1"/>
  <c r="F191" i="1"/>
  <c r="L255" i="1"/>
  <c r="G163" i="2"/>
  <c r="G159" i="2"/>
  <c r="F31" i="2"/>
  <c r="C26" i="10"/>
  <c r="L327" i="1"/>
  <c r="L350" i="1"/>
  <c r="G161" i="2"/>
  <c r="D61" i="2"/>
  <c r="D62" i="2"/>
  <c r="E49" i="2"/>
  <c r="D18" i="13"/>
  <c r="C18" i="13" s="1"/>
  <c r="F102" i="2"/>
  <c r="E18" i="2"/>
  <c r="D17" i="13"/>
  <c r="C17" i="13" s="1"/>
  <c r="G158" i="2"/>
  <c r="C90" i="2"/>
  <c r="G80" i="2"/>
  <c r="F77" i="2"/>
  <c r="F80" i="2"/>
  <c r="F61" i="2"/>
  <c r="F62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02" i="2"/>
  <c r="C102" i="2"/>
  <c r="D90" i="2"/>
  <c r="F90" i="2"/>
  <c r="E61" i="2"/>
  <c r="E62" i="2" s="1"/>
  <c r="E31" i="2"/>
  <c r="E50" i="2" s="1"/>
  <c r="G61" i="2"/>
  <c r="D19" i="13"/>
  <c r="C19" i="13"/>
  <c r="E13" i="13"/>
  <c r="C13" i="13"/>
  <c r="E77" i="2"/>
  <c r="E80" i="2"/>
  <c r="L426" i="1"/>
  <c r="H111" i="1"/>
  <c r="J640" i="1"/>
  <c r="J638" i="1"/>
  <c r="J570" i="1"/>
  <c r="K570" i="1"/>
  <c r="L432" i="1"/>
  <c r="L418" i="1"/>
  <c r="I168" i="1"/>
  <c r="J642" i="1"/>
  <c r="I475" i="1"/>
  <c r="H624" i="1"/>
  <c r="J624" i="1" s="1"/>
  <c r="G337" i="1"/>
  <c r="G351" i="1" s="1"/>
  <c r="F168" i="1"/>
  <c r="J139" i="1"/>
  <c r="F570" i="1"/>
  <c r="I551" i="1"/>
  <c r="K549" i="1"/>
  <c r="G22" i="2"/>
  <c r="K597" i="1"/>
  <c r="G646" i="1" s="1"/>
  <c r="J646" i="1" s="1"/>
  <c r="K544" i="1"/>
  <c r="C29" i="10"/>
  <c r="H139" i="1"/>
  <c r="L392" i="1"/>
  <c r="F22" i="13"/>
  <c r="H25" i="13"/>
  <c r="C25" i="13"/>
  <c r="J650" i="1"/>
  <c r="H570" i="1"/>
  <c r="L559" i="1"/>
  <c r="J544" i="1"/>
  <c r="H337" i="1"/>
  <c r="H351" i="1"/>
  <c r="G191" i="1"/>
  <c r="H191" i="1"/>
  <c r="E127" i="2"/>
  <c r="C35" i="10"/>
  <c r="L308" i="1"/>
  <c r="E16" i="13"/>
  <c r="C16" i="13" s="1"/>
  <c r="C49" i="2"/>
  <c r="J654" i="1"/>
  <c r="L569" i="1"/>
  <c r="I570" i="1"/>
  <c r="J635" i="1"/>
  <c r="G36" i="2"/>
  <c r="G49" i="2" s="1"/>
  <c r="L564" i="1"/>
  <c r="G544" i="1"/>
  <c r="C22" i="13"/>
  <c r="C137" i="2"/>
  <c r="H33" i="13"/>
  <c r="C24" i="10"/>
  <c r="G659" i="1"/>
  <c r="G31" i="13"/>
  <c r="J649" i="1"/>
  <c r="L406" i="1"/>
  <c r="C139" i="2"/>
  <c r="L570" i="1"/>
  <c r="I191" i="1"/>
  <c r="J653" i="1"/>
  <c r="J652" i="1"/>
  <c r="G21" i="2"/>
  <c r="G31" i="2"/>
  <c r="J32" i="1"/>
  <c r="L433" i="1"/>
  <c r="G637" i="1" s="1"/>
  <c r="J637" i="1" s="1"/>
  <c r="J433" i="1"/>
  <c r="F433" i="1"/>
  <c r="K433" i="1"/>
  <c r="G133" i="2"/>
  <c r="G143" i="2" s="1"/>
  <c r="G144" i="2" s="1"/>
  <c r="C6" i="10"/>
  <c r="F103" i="2"/>
  <c r="G168" i="1"/>
  <c r="F139" i="1"/>
  <c r="G62" i="2"/>
  <c r="G103" i="2" s="1"/>
  <c r="C5" i="10"/>
  <c r="J50" i="1"/>
  <c r="J51" i="1"/>
  <c r="H620" i="1" s="1"/>
  <c r="G16" i="2"/>
  <c r="H433" i="1"/>
  <c r="J619" i="1"/>
  <c r="I139" i="1"/>
  <c r="I192" i="1"/>
  <c r="G629" i="1" s="1"/>
  <c r="J629" i="1" s="1"/>
  <c r="A22" i="12"/>
  <c r="G570" i="1"/>
  <c r="I433" i="1"/>
  <c r="G433" i="1"/>
  <c r="A31" i="12"/>
  <c r="A40" i="12"/>
  <c r="H604" i="1"/>
  <c r="I662" i="1"/>
  <c r="G550" i="1"/>
  <c r="K550" i="1" s="1"/>
  <c r="K551" i="1" s="1"/>
  <c r="H544" i="1"/>
  <c r="L520" i="1"/>
  <c r="F548" i="1"/>
  <c r="F523" i="1"/>
  <c r="F544" i="1"/>
  <c r="L400" i="1"/>
  <c r="C138" i="2"/>
  <c r="C140" i="2" s="1"/>
  <c r="C143" i="2" s="1"/>
  <c r="J644" i="1"/>
  <c r="J192" i="1"/>
  <c r="G630" i="1"/>
  <c r="J630" i="1" s="1"/>
  <c r="G475" i="1"/>
  <c r="H622" i="1" s="1"/>
  <c r="J622" i="1" s="1"/>
  <c r="J621" i="1"/>
  <c r="G625" i="1"/>
  <c r="J625" i="1"/>
  <c r="J639" i="1"/>
  <c r="J19" i="1"/>
  <c r="G620" i="1" s="1"/>
  <c r="G8" i="2"/>
  <c r="G18" i="2"/>
  <c r="I445" i="1"/>
  <c r="G641" i="1"/>
  <c r="J641" i="1" s="1"/>
  <c r="L407" i="1"/>
  <c r="I368" i="1"/>
  <c r="H633" i="1"/>
  <c r="J633" i="1" s="1"/>
  <c r="L357" i="1"/>
  <c r="L275" i="1"/>
  <c r="L289" i="1"/>
  <c r="F31" i="13"/>
  <c r="F33" i="13"/>
  <c r="I289" i="1"/>
  <c r="I337" i="1"/>
  <c r="I351" i="1" s="1"/>
  <c r="J651" i="1"/>
  <c r="G648" i="1"/>
  <c r="J648" i="1" s="1"/>
  <c r="H646" i="1"/>
  <c r="H246" i="1"/>
  <c r="H256" i="1" s="1"/>
  <c r="H270" i="1" s="1"/>
  <c r="F661" i="1"/>
  <c r="I661" i="1"/>
  <c r="C21" i="10"/>
  <c r="D14" i="13"/>
  <c r="C14" i="13" s="1"/>
  <c r="C20" i="10"/>
  <c r="L204" i="1"/>
  <c r="D12" i="13"/>
  <c r="C12" i="13" s="1"/>
  <c r="L239" i="1"/>
  <c r="C17" i="10" s="1"/>
  <c r="K256" i="1"/>
  <c r="K270" i="1" s="1"/>
  <c r="G33" i="13"/>
  <c r="L202" i="1"/>
  <c r="C118" i="2"/>
  <c r="L201" i="1"/>
  <c r="C117" i="2"/>
  <c r="J270" i="1"/>
  <c r="H647" i="1"/>
  <c r="J647" i="1" s="1"/>
  <c r="C13" i="10"/>
  <c r="D15" i="13"/>
  <c r="C15" i="13"/>
  <c r="C123" i="2"/>
  <c r="L197" i="1"/>
  <c r="C109" i="2" s="1"/>
  <c r="C114" i="2" s="1"/>
  <c r="C11" i="10"/>
  <c r="C9" i="12"/>
  <c r="A13" i="12" s="1"/>
  <c r="G210" i="1"/>
  <c r="G256" i="1" s="1"/>
  <c r="G270" i="1" s="1"/>
  <c r="C108" i="2"/>
  <c r="C39" i="10"/>
  <c r="C38" i="10"/>
  <c r="D103" i="2"/>
  <c r="G192" i="1"/>
  <c r="G627" i="1"/>
  <c r="J627" i="1" s="1"/>
  <c r="C69" i="2"/>
  <c r="C80" i="2" s="1"/>
  <c r="C61" i="2"/>
  <c r="C62" i="2" s="1"/>
  <c r="C103" i="2" s="1"/>
  <c r="F111" i="1"/>
  <c r="F51" i="1"/>
  <c r="H616" i="1"/>
  <c r="J618" i="1"/>
  <c r="J617" i="1"/>
  <c r="C31" i="2"/>
  <c r="C50" i="2"/>
  <c r="C18" i="2"/>
  <c r="G551" i="1"/>
  <c r="L523" i="1"/>
  <c r="K548" i="1"/>
  <c r="F551" i="1"/>
  <c r="G645" i="1"/>
  <c r="G636" i="1"/>
  <c r="J636" i="1"/>
  <c r="H645" i="1"/>
  <c r="J645" i="1"/>
  <c r="L361" i="1"/>
  <c r="F660" i="1"/>
  <c r="D29" i="13"/>
  <c r="C29" i="13"/>
  <c r="D126" i="2"/>
  <c r="D127" i="2"/>
  <c r="D144" i="2" s="1"/>
  <c r="G660" i="1"/>
  <c r="G663" i="1" s="1"/>
  <c r="H660" i="1"/>
  <c r="C10" i="10"/>
  <c r="E108" i="2"/>
  <c r="E114" i="2" s="1"/>
  <c r="E144" i="2" s="1"/>
  <c r="D31" i="13"/>
  <c r="C31" i="13"/>
  <c r="L337" i="1"/>
  <c r="L351" i="1"/>
  <c r="G632" i="1" s="1"/>
  <c r="J632" i="1" s="1"/>
  <c r="C18" i="10"/>
  <c r="C120" i="2"/>
  <c r="E8" i="13"/>
  <c r="C8" i="13" s="1"/>
  <c r="L246" i="1"/>
  <c r="H659" i="1" s="1"/>
  <c r="C119" i="2"/>
  <c r="C127" i="2" s="1"/>
  <c r="C16" i="10"/>
  <c r="D7" i="13"/>
  <c r="C7" i="13" s="1"/>
  <c r="C15" i="10"/>
  <c r="D6" i="13"/>
  <c r="C6" i="13"/>
  <c r="L210" i="1"/>
  <c r="F659" i="1"/>
  <c r="F663" i="1" s="1"/>
  <c r="D5" i="13"/>
  <c r="C5" i="13"/>
  <c r="C36" i="10"/>
  <c r="C41" i="10"/>
  <c r="D35" i="10" s="1"/>
  <c r="F192" i="1"/>
  <c r="G626" i="1" s="1"/>
  <c r="J626" i="1" s="1"/>
  <c r="J616" i="1"/>
  <c r="E33" i="13"/>
  <c r="D35" i="13" s="1"/>
  <c r="I660" i="1"/>
  <c r="C27" i="10"/>
  <c r="G634" i="1"/>
  <c r="J634" i="1" s="1"/>
  <c r="L256" i="1"/>
  <c r="L270" i="1" s="1"/>
  <c r="G631" i="1" s="1"/>
  <c r="J631" i="1" s="1"/>
  <c r="D33" i="13"/>
  <c r="D36" i="13" s="1"/>
  <c r="D40" i="10"/>
  <c r="D38" i="10"/>
  <c r="D37" i="10"/>
  <c r="F671" i="1" l="1"/>
  <c r="C4" i="10" s="1"/>
  <c r="F666" i="1"/>
  <c r="H663" i="1"/>
  <c r="I659" i="1"/>
  <c r="I663" i="1" s="1"/>
  <c r="C144" i="2"/>
  <c r="G666" i="1"/>
  <c r="G671" i="1"/>
  <c r="C28" i="10"/>
  <c r="D17" i="10" s="1"/>
  <c r="J620" i="1"/>
  <c r="G50" i="2"/>
  <c r="H192" i="1"/>
  <c r="G628" i="1" s="1"/>
  <c r="J628" i="1" s="1"/>
  <c r="J551" i="1"/>
  <c r="D39" i="10"/>
  <c r="D36" i="10"/>
  <c r="D41" i="10" s="1"/>
  <c r="E103" i="2"/>
  <c r="L528" i="1"/>
  <c r="L544" i="1" s="1"/>
  <c r="F210" i="1"/>
  <c r="F256" i="1" s="1"/>
  <c r="F270" i="1" s="1"/>
  <c r="F143" i="2"/>
  <c r="F144" i="2" s="1"/>
  <c r="H671" i="1" l="1"/>
  <c r="H666" i="1"/>
  <c r="H655" i="1"/>
  <c r="D16" i="10"/>
  <c r="D20" i="10"/>
  <c r="D24" i="10"/>
  <c r="D21" i="10"/>
  <c r="D11" i="10"/>
  <c r="D19" i="10"/>
  <c r="D26" i="10"/>
  <c r="D23" i="10"/>
  <c r="D12" i="10"/>
  <c r="D10" i="10"/>
  <c r="D22" i="10"/>
  <c r="D18" i="10"/>
  <c r="D13" i="10"/>
  <c r="C30" i="10"/>
  <c r="D15" i="10"/>
  <c r="D27" i="10"/>
  <c r="D25" i="10"/>
  <c r="I671" i="1"/>
  <c r="C7" i="10" s="1"/>
  <c r="I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<sst xmlns="http://schemas.openxmlformats.org/spreadsheetml/2006/main" count="3944" uniqueCount="910">
  <si>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</si>
  <si>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</si>
  <si>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</si>
  <si>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</si>
  <si>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</si>
  <si>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</si>
  <si>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</si>
  <si>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</si>
  <si>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</si>
  <si>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</si>
  <si>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</si>
  <si>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</si>
  <si>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</si>
  <si>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</si>
  <si>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</si>
  <si>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</si>
  <si>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</si>
  <si>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</si>
  <si>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</si>
  <si>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</si>
  <si>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</si>
  <si>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</si>
  <si>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</si>
  <si>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</si>
  <si>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</si>
  <si>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</si>
  <si>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</si>
  <si>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</si>
  <si>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</si>
  <si>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</si>
  <si>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</si>
  <si>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</si>
  <si>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</si>
  <si>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</si>
  <si>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</si>
  <si>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</si>
  <si>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</si>
  <si>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</si>
  <si>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</si>
  <si>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</si>
  <si>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</si>
  <si>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</si>
  <si>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</si>
  <si>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</si>
  <si>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</si>
  <si>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</si>
  <si>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</si>
  <si>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</si>
  <si>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</si>
  <si>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</si>
  <si>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</si>
  <si>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</si>
  <si>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</si>
  <si>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</si>
  <si>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</si>
  <si>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</si>
  <si>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</si>
  <si>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</si>
  <si>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</si>
  <si>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</si>
  <si>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</si>
  <si>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</si>
  <si>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</si>
  <si>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</si>
  <si>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</si>
  <si>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</si>
  <si>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</si>
  <si>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</si>
  <si>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</si>
  <si>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</si>
  <si>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</si>
  <si>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</si>
  <si>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</si>
  <si>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</si>
  <si>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</si>
  <si>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</si>
  <si>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</si>
  <si>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</si>
  <si>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</si>
  <si>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</si>
  <si>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</si>
  <si>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</si>
  <si>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</si>
  <si>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</si>
  <si>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</si>
  <si>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</si>
  <si>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</si>
  <si>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</si>
  <si>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</si>
  <si>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</si>
  <si>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</si>
  <si>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</si>
  <si>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</si>
  <si>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</si>
  <si>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</si>
  <si>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</si>
  <si>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</si>
  <si>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</si>
  <si>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</si>
  <si>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</si>
  <si>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</si>
  <si>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</si>
  <si>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</si>
  <si>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</si>
  <si>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</si>
  <si>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</si>
  <si>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</si>
  <si>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</si>
  <si>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</si>
  <si>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</si>
  <si>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</si>
  <si>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</si>
  <si>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</si>
  <si>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</si>
  <si>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</si>
  <si>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</si>
  <si>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</si>
  <si>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</si>
  <si>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</si>
  <si>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</si>
  <si>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</si>
  <si>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</si>
  <si>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</si>
  <si>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</si>
  <si>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</si>
  <si>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</si>
  <si>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</si>
  <si>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</si>
  <si>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</si>
  <si>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</si>
  <si>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</si>
  <si>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</si>
  <si>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</si>
  <si>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</si>
  <si>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</si>
  <si>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</si>
  <si>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</si>
  <si>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</si>
  <si>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</si>
  <si>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</si>
  <si>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</si>
  <si>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</si>
  <si>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</si>
  <si>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</si>
  <si>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</si>
  <si>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</si>
  <si>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</si>
  <si>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</si>
  <si>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</si>
  <si>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</si>
  <si>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</si>
  <si>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</si>
  <si>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</si>
  <si>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</si>
  <si>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</si>
  <si>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</si>
  <si>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</si>
  <si>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</si>
  <si>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</si>
  <si>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</si>
  <si>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</si>
  <si>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</si>
  <si>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</si>
  <si>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</si>
  <si>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</si>
  <si>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</si>
  <si>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</si>
  <si>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</si>
  <si>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</si>
  <si>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</si>
  <si>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</si>
  <si>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</si>
  <si>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</si>
  <si>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</si>
  <si>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</si>
  <si>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</si>
  <si>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</si>
  <si>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</si>
  <si>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</si>
  <si>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</si>
  <si>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</si>
  <si>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</si>
  <si>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</si>
  <si>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</si>
  <si>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</si>
  <si>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</si>
  <si>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</si>
  <si>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</si>
  <si>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</si>
  <si>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</si>
  <si>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</si>
  <si>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</si>
  <si>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</si>
  <si>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</si>
  <si>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</si>
  <si>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</si>
  <si>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</si>
  <si>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</si>
  <si>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</si>
  <si>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</si>
  <si>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</si>
  <si>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</si>
  <si>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</si>
  <si>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</si>
  <si>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</si>
  <si>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</si>
  <si>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</si>
  <si>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</si>
  <si>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</si>
  <si>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</si>
  <si>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</si>
  <si>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</si>
  <si>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</si>
  <si>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</si>
  <si>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</si>
  <si>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</si>
  <si>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</si>
  <si>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</si>
  <si>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</si>
  <si>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</si>
  <si>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</si>
  <si>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</si>
  <si>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</si>
  <si>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</si>
  <si>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</si>
  <si>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</si>
  <si>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</si>
  <si>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</si>
  <si>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</si>
  <si>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</si>
  <si>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</si>
  <si>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</si>
  <si>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</si>
  <si>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</si>
  <si>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</si>
  <si>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</si>
  <si>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</si>
  <si>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</si>
  <si>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</si>
  <si>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</si>
  <si>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</si>
  <si>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</si>
  <si>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</si>
  <si>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</si>
  <si>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</si>
  <si>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</si>
  <si>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</si>
  <si>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</si>
  <si>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</si>
  <si>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</si>
  <si>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</si>
  <si>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</si>
  <si>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</si>
  <si>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</si>
  <si>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</si>
  <si>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</si>
  <si>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</si>
  <si>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</si>
  <si>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</si>
  <si>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</si>
  <si>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</si>
  <si>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</si>
  <si>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</si>
  <si>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</si>
  <si>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</si>
  <si>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</si>
  <si>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</si>
  <si>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</si>
  <si>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</si>
  <si>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</si>
  <si>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</si>
  <si>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</si>
  <si>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</si>
  <si>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</si>
  <si>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</si>
  <si>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</si>
  <si>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</si>
  <si>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</si>
  <si>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</si>
  <si>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</si>
  <si>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</si>
  <si>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</si>
  <si>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</si>
  <si>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</si>
  <si>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</si>
  <si>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</si>
  <si>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</si>
  <si>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</si>
  <si>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</si>
  <si>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</si>
  <si>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</si>
  <si>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</si>
  <si>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</si>
  <si>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</si>
  <si>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</si>
  <si>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</si>
  <si>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</si>
  <si>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</si>
  <si>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</si>
  <si>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</si>
  <si>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</si>
  <si>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</si>
  <si>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</si>
  <si>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</si>
  <si>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</si>
  <si>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</si>
  <si>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</si>
  <si>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</si>
  <si>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</si>
  <si>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</si>
  <si>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</si>
  <si>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</si>
  <si>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</si>
  <si>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</si>
  <si>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</si>
  <si>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</si>
  <si>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</si>
  <si>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</si>
  <si>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</si>
  <si>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</si>
  <si>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</si>
  <si>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</si>
  <si>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</si>
  <si>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</si>
  <si>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</si>
  <si>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</si>
  <si>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</si>
  <si>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</si>
  <si>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</si>
  <si>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</si>
  <si>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</si>
  <si>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</si>
  <si>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</si>
  <si>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</si>
  <si>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</si>
  <si>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</si>
  <si>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</si>
  <si>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</si>
  <si>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</si>
  <si>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</si>
  <si>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</si>
  <si>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</si>
  <si>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</si>
  <si>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</si>
  <si>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</si>
  <si>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</si>
  <si>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</si>
  <si>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</si>
  <si>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</si>
  <si>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</si>
  <si>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</si>
  <si>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</si>
  <si>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</si>
  <si>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</si>
  <si>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</si>
  <si>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</si>
  <si>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</si>
  <si>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</si>
  <si>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</si>
  <si>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</si>
  <si>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</si>
  <si>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</si>
  <si>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</si>
  <si>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</si>
  <si>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</si>
  <si>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</si>
  <si>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</si>
  <si>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</si>
  <si>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</si>
  <si>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</si>
  <si>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</si>
  <si>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</si>
  <si>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</si>
  <si>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</si>
  <si>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</si>
  <si>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</si>
  <si>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</si>
  <si>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</si>
  <si>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</si>
  <si>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</si>
  <si>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</si>
  <si>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</si>
  <si>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</si>
  <si>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</si>
  <si>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</si>
  <si>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</si>
  <si>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</si>
  <si>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</si>
  <si>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</si>
  <si>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</si>
  <si>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</si>
  <si>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</si>
  <si>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</si>
  <si>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</si>
  <si>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</si>
  <si>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</si>
  <si>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</si>
  <si>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</si>
  <si>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</si>
  <si>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</si>
  <si>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</si>
  <si>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</si>
  <si>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</si>
  <si>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</si>
  <si>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</si>
  <si>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</si>
  <si>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</si>
  <si>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</si>
  <si>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</si>
  <si>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</si>
  <si>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</si>
  <si>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</si>
  <si>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</si>
  <si>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</si>
  <si>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</si>
  <si>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</si>
  <si>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</si>
  <si>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</si>
  <si>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</si>
  <si>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</si>
  <si>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</si>
  <si>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</si>
  <si>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</si>
  <si>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</si>
  <si>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</si>
  <si>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</si>
  <si>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</si>
  <si>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</si>
  <si>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</si>
  <si>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</si>
  <si>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</si>
  <si>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</si>
  <si>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</si>
  <si>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</si>
  <si>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</si>
  <si>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</si>
  <si>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</si>
  <si>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</si>
  <si>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</si>
  <si>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</si>
  <si>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</si>
  <si>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</si>
  <si>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</si>
  <si>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</si>
  <si>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</si>
  <si>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</si>
  <si>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</si>
  <si>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</si>
  <si>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</si>
  <si>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</si>
  <si>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</si>
  <si>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</si>
  <si>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</si>
  <si>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</si>
  <si>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</si>
  <si>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</si>
  <si>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</si>
  <si>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</si>
  <si>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</si>
  <si>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</si>
  <si>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</si>
  <si>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</si>
  <si>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</si>
  <si>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</si>
  <si>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</si>
  <si>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</si>
  <si>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</si>
  <si>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</si>
  <si>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</si>
  <si>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</si>
  <si>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</si>
  <si>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</si>
  <si>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</si>
  <si>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</si>
  <si>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</si>
  <si>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</si>
  <si>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</si>
  <si>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</si>
  <si>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</si>
  <si>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</si>
  <si>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</si>
  <si>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</si>
  <si>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</si>
  <si>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</si>
  <si>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</si>
  <si>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</si>
  <si>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</si>
  <si>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</si>
  <si>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</si>
  <si>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</si>
  <si>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</si>
  <si>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</si>
  <si>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</si>
  <si>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</si>
  <si>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</si>
  <si>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</si>
  <si>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</si>
  <si>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</si>
  <si>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</si>
  <si>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</si>
  <si>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</si>
  <si>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</si>
  <si>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</si>
  <si>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</si>
  <si>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</si>
  <si>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</si>
  <si>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</si>
  <si>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</si>
  <si>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</si>
  <si>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</si>
  <si>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</si>
  <si>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</si>
  <si>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</si>
  <si>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</si>
  <si>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</si>
  <si>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</si>
  <si>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</si>
  <si>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</si>
  <si>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</si>
  <si>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</si>
  <si>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</si>
  <si>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</si>
  <si>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</si>
  <si>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</si>
  <si>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</si>
  <si>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</si>
  <si>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</si>
  <si>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</si>
  <si>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</si>
  <si>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</si>
  <si>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</si>
  <si>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</si>
  <si>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</si>
  <si>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</si>
  <si>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</si>
  <si>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</si>
  <si>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</si>
  <si>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</si>
  <si>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</si>
  <si>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</si>
  <si>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</si>
  <si>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</si>
  <si>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</si>
  <si>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</si>
  <si>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</si>
  <si>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</si>
  <si>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</si>
  <si>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</si>
  <si>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</si>
  <si>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</si>
  <si>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</si>
  <si>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</si>
  <si>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</si>
  <si>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</si>
  <si>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</si>
  <si>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</si>
  <si>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</si>
  <si>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</si>
  <si>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</si>
  <si>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</si>
  <si>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</si>
  <si>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</si>
  <si>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</si>
  <si>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</si>
  <si>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</si>
  <si>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</si>
  <si>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</si>
  <si>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</si>
  <si>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</si>
  <si>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</si>
  <si>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</si>
  <si>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</si>
  <si>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</si>
  <si>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</si>
  <si>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</si>
  <si>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</si>
  <si>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</si>
  <si>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</si>
  <si>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</si>
  <si>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</si>
  <si>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</si>
  <si>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</si>
  <si>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</si>
  <si>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</si>
  <si>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</si>
  <si>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</si>
  <si>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</si>
  <si>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</si>
  <si>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</si>
  <si>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</si>
  <si>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</si>
  <si>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</si>
  <si>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</si>
  <si>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</si>
  <si>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</si>
  <si>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</si>
  <si>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</si>
  <si>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</si>
  <si>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</si>
  <si>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</si>
  <si>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</si>
  <si>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</si>
  <si>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</si>
  <si>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</si>
  <si>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</si>
  <si>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</si>
  <si>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</si>
  <si>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</si>
  <si>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</si>
  <si>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</si>
  <si>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</si>
  <si>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</si>
  <si>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</si>
  <si>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</si>
  <si>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</si>
  <si>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</si>
  <si>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</si>
  <si>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</si>
  <si>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</si>
  <si>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</si>
  <si>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</si>
  <si>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</si>
  <si>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</si>
  <si>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</si>
  <si>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</si>
  <si>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</si>
  <si>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</si>
  <si>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</si>
  <si>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</si>
  <si>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</si>
  <si>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</si>
  <si>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</si>
  <si>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</si>
  <si>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</si>
  <si>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</si>
  <si>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</si>
  <si>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</si>
  <si>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</si>
  <si>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</si>
  <si>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</si>
  <si>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</si>
  <si>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</si>
  <si>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</si>
  <si>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</si>
  <si>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</si>
  <si>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</si>
  <si>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</si>
  <si>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</si>
  <si>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</si>
  <si>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</si>
  <si>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</si>
  <si>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</si>
  <si>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</si>
  <si>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</si>
  <si>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</si>
  <si>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</si>
  <si>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</si>
  <si>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</si>
  <si>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</si>
  <si>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</si>
  <si>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</si>
  <si>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</si>
  <si>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</si>
  <si>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</si>
  <si>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</si>
  <si>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</si>
  <si>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</si>
  <si>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</si>
  <si>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</si>
  <si>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</si>
  <si>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</si>
  <si>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</si>
  <si>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</si>
  <si>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</si>
  <si>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</si>
  <si>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</si>
  <si>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</si>
  <si>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</si>
  <si>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</si>
  <si>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</si>
  <si>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</si>
  <si>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</si>
  <si>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</si>
  <si>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</si>
  <si>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</si>
  <si>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</si>
  <si>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</si>
  <si>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</si>
  <si>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</si>
  <si>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</si>
  <si>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</si>
  <si>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</si>
  <si>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</si>
  <si>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</si>
  <si>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</si>
  <si>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</si>
  <si>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</si>
  <si>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</si>
  <si>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</si>
  <si>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</si>
  <si>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</si>
  <si>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</si>
  <si>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</si>
  <si>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</si>
  <si>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</si>
  <si>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</si>
  <si>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</si>
  <si>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</si>
  <si>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</si>
  <si>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</si>
  <si>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</si>
  <si>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</si>
  <si>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</si>
  <si>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</si>
  <si>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</si>
  <si>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</si>
  <si>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</si>
  <si>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</si>
  <si>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</si>
  <si>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</si>
  <si>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</si>
  <si>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</si>
  <si>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</si>
  <si>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</si>
  <si>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</si>
  <si>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</si>
  <si>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</si>
  <si>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</si>
  <si>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</si>
  <si>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</si>
  <si>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</si>
  <si>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</si>
  <si>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</si>
  <si>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</si>
  <si>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</si>
  <si>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</si>
  <si>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</si>
  <si>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</si>
  <si>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</si>
  <si>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</si>
  <si>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</si>
  <si>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</si>
  <si>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</si>
  <si>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</si>
  <si>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</si>
  <si>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</si>
  <si>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</si>
  <si>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</si>
  <si>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</si>
  <si>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</si>
  <si>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</si>
  <si>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</si>
  <si>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</si>
  <si>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</si>
  <si>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</si>
  <si>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</si>
  <si>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</si>
  <si>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</si>
  <si>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</si>
  <si>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</si>
  <si>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</si>
  <si>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</si>
  <si>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</si>
  <si>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</si>
  <si>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</si>
  <si>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</si>
  <si>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</si>
  <si>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</si>
  <si>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</si>
  <si>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</si>
  <si>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</si>
  <si>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</si>
  <si>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</si>
  <si>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</si>
  <si>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</si>
  <si>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</si>
  <si>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</si>
  <si>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</si>
  <si>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</si>
  <si>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</si>
  <si>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</si>
  <si>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</si>
  <si>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</si>
  <si>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</si>
  <si>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</si>
  <si>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</si>
  <si>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</si>
  <si>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</si>
  <si>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</si>
  <si>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</si>
  <si>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</si>
  <si>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</si>
  <si>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</si>
  <si>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</si>
  <si>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</si>
  <si>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</si>
  <si>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</si>
  <si>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</si>
  <si>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</si>
  <si>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</si>
  <si>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</si>
  <si>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</si>
  <si>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</si>
  <si>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</si>
  <si>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</si>
  <si>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</si>
  <si>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</si>
  <si>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</si>
  <si>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</si>
  <si>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</si>
  <si>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</si>
  <si>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</si>
  <si>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</si>
  <si>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</si>
  <si>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</si>
  <si>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</si>
  <si>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</si>
  <si>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</si>
  <si>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</si>
  <si>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</si>
  <si>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</si>
  <si>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</si>
  <si>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</si>
  <si>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</si>
  <si>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</si>
  <si>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</si>
  <si>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</si>
  <si>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</si>
  <si>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</si>
  <si>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</si>
  <si>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</si>
  <si>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</si>
  <si>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</si>
  <si>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</si>
  <si>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</si>
  <si>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</si>
  <si>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</si>
  <si>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</si>
  <si>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</si>
  <si>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</si>
  <si>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</si>
  <si>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</si>
  <si>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</si>
  <si>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</si>
  <si>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</si>
  <si>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</si>
  <si>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</si>
  <si>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</si>
  <si>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</si>
  <si>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</si>
  <si>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</si>
  <si>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</si>
  <si>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</si>
  <si>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</si>
  <si>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</si>
  <si>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</si>
  <si>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</si>
  <si>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</si>
  <si>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</si>
  <si>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</si>
  <si>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</si>
  <si>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</si>
  <si>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</si>
  <si>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</si>
  <si>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</si>
  <si>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</si>
  <si>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</si>
  <si>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</si>
  <si>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</si>
  <si>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</si>
  <si>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</si>
  <si>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</si>
  <si>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</si>
  <si>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</si>
  <si>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</si>
  <si>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</si>
  <si>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</si>
  <si>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</si>
  <si>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</si>
  <si>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</si>
  <si>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</si>
  <si>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</si>
  <si>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</si>
  <si>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</si>
  <si>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</si>
  <si>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</si>
  <si>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</si>
  <si>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</si>
  <si>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</si>
  <si>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</si>
  <si>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</si>
  <si>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</si>
  <si>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</si>
  <si>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</si>
  <si>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</si>
  <si>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</si>
  <si>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</si>
  <si>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</si>
  <si>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</si>
  <si>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</si>
  <si>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</si>
  <si>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</si>
  <si>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</si>
  <si>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</si>
  <si>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</si>
  <si>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</si>
  <si>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</si>
  <si>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</si>
  <si>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</si>
  <si>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STRATFORD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</si>
</sst>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509</v>
      </c>
      <c r="C2" s="21">
        <v>509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64993.73</v>
      </c>
      <c r="G9" s="18"/>
      <c r="H9" s="18"/>
      <c r="I9" s="18"/>
      <c r="J9" s="67">
        <f>SUM(I438)</f>
        <v>337000.28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6637.81+62014.85</f>
        <v>68652.66</v>
      </c>
      <c r="G12" s="18">
        <v>0</v>
      </c>
      <c r="H12" s="18">
        <v>3320.76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27285.15</v>
      </c>
      <c r="G14" s="18">
        <v>6637.81</v>
      </c>
      <c r="H14" s="18">
        <v>62014.85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160931.54</v>
      </c>
      <c r="G19" s="41">
        <f>SUM(G9:G18)</f>
        <v>6637.81</v>
      </c>
      <c r="H19" s="41">
        <f>SUM(H9:H18)</f>
        <v>65335.61</v>
      </c>
      <c r="I19" s="41">
        <f>SUM(I9:I18)</f>
        <v>0</v>
      </c>
      <c r="J19" s="41">
        <f>SUM(J9:J18)</f>
        <v>337000.28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3320.76</v>
      </c>
      <c r="G22" s="18">
        <v>6637.81</v>
      </c>
      <c r="H22" s="18">
        <v>62014.85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17291.580000000002</v>
      </c>
      <c r="G28" s="18">
        <v>0</v>
      </c>
      <c r="H28" s="18">
        <v>3320.76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20612.340000000004</v>
      </c>
      <c r="G32" s="41">
        <f>SUM(G22:G31)</f>
        <v>6637.81</v>
      </c>
      <c r="H32" s="41">
        <f>SUM(H22:H31)</f>
        <v>65335.61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24314</v>
      </c>
      <c r="G43" s="18"/>
      <c r="H43" s="18"/>
      <c r="I43" s="18"/>
      <c r="J43" s="13">
        <f>SUM(I455)</f>
        <v>337000.28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91005.2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140319.20000000001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337000.28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160931.54</v>
      </c>
      <c r="G51" s="41">
        <f>G50+G32</f>
        <v>6637.81</v>
      </c>
      <c r="H51" s="41">
        <f>H50+H32</f>
        <v>65335.61</v>
      </c>
      <c r="I51" s="41">
        <f>I50+I32</f>
        <v>0</v>
      </c>
      <c r="J51" s="41">
        <f>J50+J32</f>
        <v>337000.28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867876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867876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67721.67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67721.67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714.79</v>
      </c>
      <c r="G95" s="18"/>
      <c r="H95" s="18"/>
      <c r="I95" s="18"/>
      <c r="J95" s="18">
        <v>219.97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12144.58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33588.94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34303.730000000003</v>
      </c>
      <c r="G110" s="41">
        <f>SUM(G95:G109)</f>
        <v>12144.58</v>
      </c>
      <c r="H110" s="41">
        <f>SUM(H95:H109)</f>
        <v>0</v>
      </c>
      <c r="I110" s="41">
        <f>SUM(I95:I109)</f>
        <v>0</v>
      </c>
      <c r="J110" s="41">
        <f>SUM(J95:J109)</f>
        <v>219.97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969901.4</v>
      </c>
      <c r="G111" s="41">
        <f>G59+G110</f>
        <v>12144.58</v>
      </c>
      <c r="H111" s="41">
        <f>H59+H78+H93+H110</f>
        <v>0</v>
      </c>
      <c r="I111" s="41">
        <f>I59+I110</f>
        <v>0</v>
      </c>
      <c r="J111" s="41">
        <f>J59+J110</f>
        <v>219.97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805454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104698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910152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538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538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910152</v>
      </c>
      <c r="G139" s="41">
        <f>G120+SUM(G135:G136)</f>
        <v>538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93330.55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50532.32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37510.519999999997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36207.89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7011.6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43219.49</v>
      </c>
      <c r="G161" s="41">
        <f>SUM(G149:G160)</f>
        <v>37510.519999999997</v>
      </c>
      <c r="H161" s="41">
        <f>SUM(H149:H160)</f>
        <v>143862.87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43219.49</v>
      </c>
      <c r="G168" s="41">
        <f>G146+G161+SUM(G162:G167)</f>
        <v>37510.519999999997</v>
      </c>
      <c r="H168" s="41">
        <f>H146+H161+SUM(H162:H167)</f>
        <v>143862.87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12028.23</v>
      </c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12028.23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12028.23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1923272.89</v>
      </c>
      <c r="G192" s="47">
        <f>G111+G139+G168+G191</f>
        <v>62221.33</v>
      </c>
      <c r="H192" s="47">
        <f>H111+H139+H168+H191</f>
        <v>143862.87</v>
      </c>
      <c r="I192" s="47">
        <f>I111+I139+I168+I191</f>
        <v>0</v>
      </c>
      <c r="J192" s="47">
        <f>J111+J139+J191</f>
        <v>75219.97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333365.39+500+19500+4785</f>
        <v>358150.39</v>
      </c>
      <c r="G196" s="18">
        <f>32127.05+1752.99+1612.66-141.87+27365.85+38.25+50.85+28358.04+10851</f>
        <v>102014.82</v>
      </c>
      <c r="H196" s="18">
        <f>359+144+75+534.8+3464.88+368.73+37.29</f>
        <v>4983.7</v>
      </c>
      <c r="I196" s="18">
        <f>345.99+578.42+552.14+304.07+421.36+53.98+681.68+464.79+155.44+139.64+26.99+1132.78+404.05+521.87+135.89+172.51+200+833.36+294.28+200-4+621.31+544.32+330.07+507.03+86.93+27.5+1073+1170+22.49+2262.88</f>
        <v>14260.77</v>
      </c>
      <c r="J196" s="18">
        <f>2040.58+12471.62+67.91+620.96</f>
        <v>15201.07</v>
      </c>
      <c r="K196" s="18">
        <f>-16.34+100-46.41-152.48</f>
        <v>-115.22999999999999</v>
      </c>
      <c r="L196" s="19">
        <f>SUM(F196:K196)</f>
        <v>494495.52000000008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33750+12171.5+5552.04</f>
        <v>51473.54</v>
      </c>
      <c r="G197" s="18">
        <f>6531.84+338.4+210+3937.78+3813.68+1470</f>
        <v>16301.7</v>
      </c>
      <c r="H197" s="18">
        <f>400+11078.27+10671.33+18621.97+528.32</f>
        <v>41299.89</v>
      </c>
      <c r="I197" s="18">
        <f>25.06+472.14</f>
        <v>497.2</v>
      </c>
      <c r="J197" s="18"/>
      <c r="K197" s="18"/>
      <c r="L197" s="19">
        <f>SUM(F197:K197)</f>
        <v>109572.33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1295</f>
        <v>1295</v>
      </c>
      <c r="G199" s="18">
        <f>99.07+78.54</f>
        <v>177.61</v>
      </c>
      <c r="H199" s="18"/>
      <c r="I199" s="18">
        <v>144</v>
      </c>
      <c r="J199" s="18"/>
      <c r="K199" s="18">
        <v>50</v>
      </c>
      <c r="L199" s="19">
        <f>SUM(F199:K199)</f>
        <v>1666.6100000000001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>
        <f>98</f>
        <v>98</v>
      </c>
      <c r="H201" s="18">
        <f>150+15457.43+44506.25+10949.77</f>
        <v>71063.45</v>
      </c>
      <c r="I201" s="18">
        <f>126.23+68.88+172.76+275.2</f>
        <v>643.06999999999994</v>
      </c>
      <c r="J201" s="18"/>
      <c r="K201" s="18"/>
      <c r="L201" s="19">
        <f t="shared" ref="L201:L207" si="0">SUM(F201:K201)</f>
        <v>71804.52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11176.9</f>
        <v>11176.9</v>
      </c>
      <c r="G202" s="18">
        <f>855.04+490</f>
        <v>1345.04</v>
      </c>
      <c r="H202" s="18">
        <f>245.75+82.49+168.76+6994.71+143.96+10045.94</f>
        <v>17681.61</v>
      </c>
      <c r="I202" s="18">
        <f>899.95+607.81+1861.91</f>
        <v>3369.67</v>
      </c>
      <c r="J202" s="18">
        <f>200</f>
        <v>200</v>
      </c>
      <c r="K202" s="18">
        <f>20</f>
        <v>20</v>
      </c>
      <c r="L202" s="19">
        <f t="shared" si="0"/>
        <v>33793.22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1821.3</v>
      </c>
      <c r="G203" s="18">
        <v>139.35</v>
      </c>
      <c r="H203" s="18">
        <f>13880.9+84865.34</f>
        <v>98746.239999999991</v>
      </c>
      <c r="I203" s="18"/>
      <c r="J203" s="18"/>
      <c r="K203" s="18">
        <v>2174.06</v>
      </c>
      <c r="L203" s="19">
        <f t="shared" si="0"/>
        <v>102880.94999999998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66950+25418.91+58</f>
        <v>92426.91</v>
      </c>
      <c r="G204" s="18">
        <f>12611.28+338.4+350+7072.65+2236.9+7565.48+3238+980</f>
        <v>34392.710000000006</v>
      </c>
      <c r="H204" s="18">
        <f>799.9+88.14+16314.38+371.37+83.73</f>
        <v>17657.519999999997</v>
      </c>
      <c r="I204" s="18">
        <f>2056.18+4549.83</f>
        <v>6606.01</v>
      </c>
      <c r="J204" s="18">
        <f>523.46</f>
        <v>523.46</v>
      </c>
      <c r="K204" s="18">
        <f>2184.75</f>
        <v>2184.75</v>
      </c>
      <c r="L204" s="19">
        <f t="shared" si="0"/>
        <v>153791.36000000002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42545.13+4800.76+83</f>
        <v>47428.89</v>
      </c>
      <c r="G206" s="18">
        <f>17025.12+3612+2831.34+980</f>
        <v>24448.46</v>
      </c>
      <c r="H206" s="18">
        <f>19069.31+4275+5000+62319.48+6780+1117.42</f>
        <v>98561.21</v>
      </c>
      <c r="I206" s="18">
        <f>12527.77+14725.81+224.68+39569.76</f>
        <v>67048.02</v>
      </c>
      <c r="J206" s="18">
        <f>115.98+1724.07</f>
        <v>1840.05</v>
      </c>
      <c r="K206" s="18"/>
      <c r="L206" s="19">
        <f t="shared" si="0"/>
        <v>239326.63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18128.48+1566.18+43686.82+3364.77</f>
        <v>66746.25</v>
      </c>
      <c r="I207" s="18"/>
      <c r="J207" s="18"/>
      <c r="K207" s="18"/>
      <c r="L207" s="19">
        <f t="shared" si="0"/>
        <v>66746.25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563772.93000000005</v>
      </c>
      <c r="G210" s="41">
        <f t="shared" si="1"/>
        <v>178917.69</v>
      </c>
      <c r="H210" s="41">
        <f t="shared" si="1"/>
        <v>416739.87</v>
      </c>
      <c r="I210" s="41">
        <f t="shared" si="1"/>
        <v>92568.74</v>
      </c>
      <c r="J210" s="41">
        <f t="shared" si="1"/>
        <v>17764.579999999998</v>
      </c>
      <c r="K210" s="41">
        <f t="shared" si="1"/>
        <v>4313.58</v>
      </c>
      <c r="L210" s="41">
        <f t="shared" si="1"/>
        <v>1274077.3900000001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369458.74</v>
      </c>
      <c r="I232" s="18"/>
      <c r="J232" s="18"/>
      <c r="K232" s="18"/>
      <c r="L232" s="19">
        <f>SUM(F232:K232)</f>
        <v>369458.74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27444.67+65+64196.06</f>
        <v>91705.73</v>
      </c>
      <c r="I233" s="18"/>
      <c r="J233" s="18"/>
      <c r="K233" s="18"/>
      <c r="L233" s="19">
        <f>SUM(F233:K233)</f>
        <v>91705.73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513.70000000000005</v>
      </c>
      <c r="G239" s="18">
        <v>39.31</v>
      </c>
      <c r="H239" s="18">
        <f>3915.13+23936.38</f>
        <v>27851.510000000002</v>
      </c>
      <c r="I239" s="18"/>
      <c r="J239" s="18"/>
      <c r="K239" s="18">
        <v>613.20000000000005</v>
      </c>
      <c r="L239" s="19">
        <f t="shared" si="4"/>
        <v>29017.72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43771.78</f>
        <v>43771.78</v>
      </c>
      <c r="I243" s="18"/>
      <c r="J243" s="18"/>
      <c r="K243" s="18"/>
      <c r="L243" s="19">
        <f t="shared" si="4"/>
        <v>43771.78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513.70000000000005</v>
      </c>
      <c r="G246" s="41">
        <f t="shared" si="5"/>
        <v>39.31</v>
      </c>
      <c r="H246" s="41">
        <f t="shared" si="5"/>
        <v>532787.76</v>
      </c>
      <c r="I246" s="41">
        <f t="shared" si="5"/>
        <v>0</v>
      </c>
      <c r="J246" s="41">
        <f t="shared" si="5"/>
        <v>0</v>
      </c>
      <c r="K246" s="41">
        <f t="shared" si="5"/>
        <v>613.20000000000005</v>
      </c>
      <c r="L246" s="41">
        <f t="shared" si="5"/>
        <v>533953.97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3611.79</v>
      </c>
      <c r="K254" s="18"/>
      <c r="L254" s="19">
        <f t="shared" si="6"/>
        <v>3611.79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3611.79</v>
      </c>
      <c r="K255" s="41">
        <f t="shared" si="7"/>
        <v>0</v>
      </c>
      <c r="L255" s="41">
        <f>SUM(F255:K255)</f>
        <v>3611.79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564286.63</v>
      </c>
      <c r="G256" s="41">
        <f t="shared" si="8"/>
        <v>178957</v>
      </c>
      <c r="H256" s="41">
        <f t="shared" si="8"/>
        <v>949527.63</v>
      </c>
      <c r="I256" s="41">
        <f t="shared" si="8"/>
        <v>92568.74</v>
      </c>
      <c r="J256" s="41">
        <f t="shared" si="8"/>
        <v>21376.37</v>
      </c>
      <c r="K256" s="41">
        <f t="shared" si="8"/>
        <v>4926.78</v>
      </c>
      <c r="L256" s="41">
        <f t="shared" si="8"/>
        <v>1811643.1500000001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12028.23</v>
      </c>
      <c r="L262" s="19">
        <f>SUM(F262:K262)</f>
        <v>12028.23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87028.23</v>
      </c>
      <c r="L269" s="41">
        <f t="shared" si="9"/>
        <v>87028.23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564286.63</v>
      </c>
      <c r="G270" s="42">
        <f t="shared" si="11"/>
        <v>178957</v>
      </c>
      <c r="H270" s="42">
        <f t="shared" si="11"/>
        <v>949527.63</v>
      </c>
      <c r="I270" s="42">
        <f t="shared" si="11"/>
        <v>92568.74</v>
      </c>
      <c r="J270" s="42">
        <f t="shared" si="11"/>
        <v>21376.37</v>
      </c>
      <c r="K270" s="42">
        <f t="shared" si="11"/>
        <v>91955.01</v>
      </c>
      <c r="L270" s="42">
        <f t="shared" si="11"/>
        <v>1898671.3800000001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8514.48+58658.36+14000+4500+119+1500</f>
        <v>87291.839999999997</v>
      </c>
      <c r="G275" s="18">
        <f>326.6+16.92+10+651.37+800.95+6205.24+321.48+200+4487.31+4700.95+1071+169.5+344.25+9.11+114.75+56.5</f>
        <v>19485.93</v>
      </c>
      <c r="H275" s="18">
        <f>1961.73+3000+125+500+70.47+7000+13103.25</f>
        <v>25760.45</v>
      </c>
      <c r="I275" s="18">
        <f>500+166.43+2447.02+592.9+175.29+134.95+4000</f>
        <v>8016.59</v>
      </c>
      <c r="J275" s="18">
        <f>2667.88+487.7</f>
        <v>3155.58</v>
      </c>
      <c r="K275" s="18">
        <f>152.48</f>
        <v>152.47999999999999</v>
      </c>
      <c r="L275" s="19">
        <f>SUM(F275:K275)</f>
        <v>143862.87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87291.839999999997</v>
      </c>
      <c r="G289" s="42">
        <f t="shared" si="13"/>
        <v>19485.93</v>
      </c>
      <c r="H289" s="42">
        <f t="shared" si="13"/>
        <v>25760.45</v>
      </c>
      <c r="I289" s="42">
        <f t="shared" si="13"/>
        <v>8016.59</v>
      </c>
      <c r="J289" s="42">
        <f t="shared" si="13"/>
        <v>3155.58</v>
      </c>
      <c r="K289" s="42">
        <f t="shared" si="13"/>
        <v>152.47999999999999</v>
      </c>
      <c r="L289" s="41">
        <f t="shared" si="13"/>
        <v>143862.87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87291.839999999997</v>
      </c>
      <c r="G337" s="41">
        <f t="shared" si="20"/>
        <v>19485.93</v>
      </c>
      <c r="H337" s="41">
        <f t="shared" si="20"/>
        <v>25760.45</v>
      </c>
      <c r="I337" s="41">
        <f t="shared" si="20"/>
        <v>8016.59</v>
      </c>
      <c r="J337" s="41">
        <f t="shared" si="20"/>
        <v>3155.58</v>
      </c>
      <c r="K337" s="41">
        <f t="shared" si="20"/>
        <v>152.47999999999999</v>
      </c>
      <c r="L337" s="41">
        <f t="shared" si="20"/>
        <v>143862.87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87291.839999999997</v>
      </c>
      <c r="G351" s="41">
        <f>G337</f>
        <v>19485.93</v>
      </c>
      <c r="H351" s="41">
        <f>H337</f>
        <v>25760.45</v>
      </c>
      <c r="I351" s="41">
        <f>I337</f>
        <v>8016.59</v>
      </c>
      <c r="J351" s="41">
        <f>J337</f>
        <v>3155.58</v>
      </c>
      <c r="K351" s="47">
        <f>K337+K350</f>
        <v>152.47999999999999</v>
      </c>
      <c r="L351" s="41">
        <f>L337+L350</f>
        <v>143862.87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57383.16+4502.89</f>
        <v>61886.05</v>
      </c>
      <c r="I357" s="18"/>
      <c r="J357" s="18">
        <f>335.28</f>
        <v>335.28</v>
      </c>
      <c r="K357" s="18"/>
      <c r="L357" s="13">
        <f>SUM(F357:K357)</f>
        <v>62221.33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61886.05</v>
      </c>
      <c r="I361" s="47">
        <f t="shared" si="22"/>
        <v>0</v>
      </c>
      <c r="J361" s="47">
        <f t="shared" si="22"/>
        <v>335.28</v>
      </c>
      <c r="K361" s="47">
        <f t="shared" si="22"/>
        <v>0</v>
      </c>
      <c r="L361" s="47">
        <f t="shared" si="22"/>
        <v>62221.33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25000</v>
      </c>
      <c r="H395" s="18">
        <v>120.52</v>
      </c>
      <c r="I395" s="18"/>
      <c r="J395" s="24" t="s">
        <v>289</v>
      </c>
      <c r="K395" s="24" t="s">
        <v>289</v>
      </c>
      <c r="L395" s="56">
        <f t="shared" si="26"/>
        <v>25120.52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90.87</v>
      </c>
      <c r="I396" s="18"/>
      <c r="J396" s="24" t="s">
        <v>289</v>
      </c>
      <c r="K396" s="24" t="s">
        <v>289</v>
      </c>
      <c r="L396" s="56">
        <f t="shared" si="26"/>
        <v>25090.87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25000</v>
      </c>
      <c r="H397" s="18">
        <v>8.58</v>
      </c>
      <c r="I397" s="18"/>
      <c r="J397" s="24" t="s">
        <v>289</v>
      </c>
      <c r="K397" s="24" t="s">
        <v>289</v>
      </c>
      <c r="L397" s="56">
        <f t="shared" si="26"/>
        <v>25008.58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219.97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75219.97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219.97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75219.97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337000.28</v>
      </c>
      <c r="H438" s="18"/>
      <c r="I438" s="56">
        <f t="shared" ref="I438:I444" si="33">SUM(F438:H438)</f>
        <v>337000.28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337000.28</v>
      </c>
      <c r="H445" s="13">
        <f>SUM(H438:H444)</f>
        <v>0</v>
      </c>
      <c r="I445" s="13">
        <f>SUM(I438:I444)</f>
        <v>337000.28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v>337000.28</v>
      </c>
      <c r="H455" s="18"/>
      <c r="I455" s="56">
        <f t="shared" si="34"/>
        <v>337000.28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337000.28</v>
      </c>
      <c r="H459" s="83">
        <f>SUM(H453:H458)</f>
        <v>0</v>
      </c>
      <c r="I459" s="83">
        <f>SUM(I453:I458)</f>
        <v>337000.28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337000.28</v>
      </c>
      <c r="H460" s="42">
        <f>H451+H459</f>
        <v>0</v>
      </c>
      <c r="I460" s="42">
        <f>I451+I459</f>
        <v>337000.28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115717.69</v>
      </c>
      <c r="G464" s="18"/>
      <c r="H464" s="18"/>
      <c r="I464" s="18"/>
      <c r="J464" s="18">
        <v>261780.31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1923272.89</v>
      </c>
      <c r="G467" s="18">
        <v>62221.33</v>
      </c>
      <c r="H467" s="18">
        <v>143862.87</v>
      </c>
      <c r="I467" s="18"/>
      <c r="J467" s="18">
        <v>75219.97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1923272.89</v>
      </c>
      <c r="G469" s="53">
        <f>SUM(G467:G468)</f>
        <v>62221.33</v>
      </c>
      <c r="H469" s="53">
        <f>SUM(H467:H468)</f>
        <v>143862.87</v>
      </c>
      <c r="I469" s="53">
        <f>SUM(I467:I468)</f>
        <v>0</v>
      </c>
      <c r="J469" s="53">
        <f>SUM(J467:J468)</f>
        <v>75219.97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1898671.38</v>
      </c>
      <c r="G471" s="18">
        <v>62221.33</v>
      </c>
      <c r="H471" s="18">
        <v>143862.87</v>
      </c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1898671.38</v>
      </c>
      <c r="G473" s="53">
        <f>SUM(G471:G472)</f>
        <v>62221.33</v>
      </c>
      <c r="H473" s="53">
        <f>SUM(H471:H472)</f>
        <v>143862.87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140319.19999999995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337000.28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33750+12171.5+5552.04</f>
        <v>51473.54</v>
      </c>
      <c r="G520" s="18">
        <f>6531.84+338.4+210+3937.78+3813.68+1470</f>
        <v>16301.7</v>
      </c>
      <c r="H520" s="18">
        <f>400+65+18621.97+528.32</f>
        <v>19615.29</v>
      </c>
      <c r="I520" s="18">
        <f>25.06+472.14</f>
        <v>497.2</v>
      </c>
      <c r="J520" s="18"/>
      <c r="K520" s="18"/>
      <c r="L520" s="88">
        <f>SUM(F520:K520)</f>
        <v>87887.73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51473.54</v>
      </c>
      <c r="G523" s="108">
        <f t="shared" ref="G523:L523" si="36">SUM(G520:G522)</f>
        <v>16301.7</v>
      </c>
      <c r="H523" s="108">
        <f t="shared" si="36"/>
        <v>19615.29</v>
      </c>
      <c r="I523" s="108">
        <f t="shared" si="36"/>
        <v>497.2</v>
      </c>
      <c r="J523" s="108">
        <f t="shared" si="36"/>
        <v>0</v>
      </c>
      <c r="K523" s="108">
        <f t="shared" si="36"/>
        <v>0</v>
      </c>
      <c r="L523" s="89">
        <f t="shared" si="36"/>
        <v>87887.73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11078.27+10671.33</f>
        <v>21749.599999999999</v>
      </c>
      <c r="I525" s="18"/>
      <c r="J525" s="18"/>
      <c r="K525" s="18"/>
      <c r="L525" s="88">
        <f>SUM(F525:K525)</f>
        <v>21749.599999999999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27444.67+65+64196.06</f>
        <v>91705.73</v>
      </c>
      <c r="I527" s="18"/>
      <c r="J527" s="18"/>
      <c r="K527" s="18"/>
      <c r="L527" s="88">
        <f>SUM(F527:K527)</f>
        <v>91705.73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113455.32999999999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113455.32999999999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16769.48</v>
      </c>
      <c r="I530" s="18"/>
      <c r="J530" s="18"/>
      <c r="K530" s="18"/>
      <c r="L530" s="88">
        <f>SUM(F530:K530)</f>
        <v>16769.48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16769.48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16769.48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19694.66</v>
      </c>
      <c r="I540" s="18"/>
      <c r="J540" s="18"/>
      <c r="K540" s="18"/>
      <c r="L540" s="88">
        <f>SUM(F540:K540)</f>
        <v>19694.66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19694.66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19694.66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51473.54</v>
      </c>
      <c r="G544" s="89">
        <f t="shared" ref="G544:L544" si="41">G523+G528+G533+G538+G543</f>
        <v>16301.7</v>
      </c>
      <c r="H544" s="89">
        <f t="shared" si="41"/>
        <v>169534.76</v>
      </c>
      <c r="I544" s="89">
        <f t="shared" si="41"/>
        <v>497.2</v>
      </c>
      <c r="J544" s="89">
        <f t="shared" si="41"/>
        <v>0</v>
      </c>
      <c r="K544" s="89">
        <f t="shared" si="41"/>
        <v>0</v>
      </c>
      <c r="L544" s="89">
        <f t="shared" si="41"/>
        <v>237807.2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87887.73</v>
      </c>
      <c r="G548" s="87">
        <f>L525</f>
        <v>21749.599999999999</v>
      </c>
      <c r="H548" s="87">
        <f>L530</f>
        <v>16769.48</v>
      </c>
      <c r="I548" s="87">
        <f>L535</f>
        <v>0</v>
      </c>
      <c r="J548" s="87">
        <f>L540</f>
        <v>19694.66</v>
      </c>
      <c r="K548" s="87">
        <f>SUM(F548:J548)</f>
        <v>146101.46999999997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91705.73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91705.73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87887.73</v>
      </c>
      <c r="G551" s="89">
        <f t="shared" si="42"/>
        <v>113455.32999999999</v>
      </c>
      <c r="H551" s="89">
        <f t="shared" si="42"/>
        <v>16769.48</v>
      </c>
      <c r="I551" s="89">
        <f t="shared" si="42"/>
        <v>0</v>
      </c>
      <c r="J551" s="89">
        <f t="shared" si="42"/>
        <v>19694.66</v>
      </c>
      <c r="K551" s="89">
        <f t="shared" si="42"/>
        <v>237807.19999999995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369458.74</v>
      </c>
      <c r="I574" s="87">
        <f>SUM(F574:H574)</f>
        <v>369458.74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18621.97</v>
      </c>
      <c r="G578" s="18"/>
      <c r="H578" s="18"/>
      <c r="I578" s="87">
        <f t="shared" si="47"/>
        <v>18621.97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64196.06</v>
      </c>
      <c r="I581" s="87">
        <f t="shared" si="47"/>
        <v>64196.06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43686.82</v>
      </c>
      <c r="I590" s="18"/>
      <c r="J590" s="18">
        <v>43771.78</v>
      </c>
      <c r="K590" s="104">
        <f t="shared" ref="K590:K596" si="48">SUM(H590:J590)</f>
        <v>87458.6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19694.66</v>
      </c>
      <c r="I591" s="18"/>
      <c r="J591" s="18"/>
      <c r="K591" s="104">
        <f t="shared" si="48"/>
        <v>19694.66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3364.77</v>
      </c>
      <c r="I594" s="18"/>
      <c r="J594" s="18"/>
      <c r="K594" s="104">
        <f t="shared" si="48"/>
        <v>3364.77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66746.25</v>
      </c>
      <c r="I597" s="108">
        <f>SUM(I590:I596)</f>
        <v>0</v>
      </c>
      <c r="J597" s="108">
        <f>SUM(J590:J596)</f>
        <v>43771.78</v>
      </c>
      <c r="K597" s="108">
        <f>SUM(K590:K596)</f>
        <v>110518.03000000001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3611.79</v>
      </c>
      <c r="I602" s="18"/>
      <c r="J602" s="18"/>
      <c r="K602" s="104">
        <f>SUM(H602:J602)</f>
        <v>3611.79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20920.16-3611.79</f>
        <v>17308.37</v>
      </c>
      <c r="I603" s="18"/>
      <c r="J603" s="18"/>
      <c r="K603" s="104">
        <f>SUM(H603:J603)</f>
        <v>17308.37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20920.16</v>
      </c>
      <c r="I604" s="108">
        <f>SUM(I601:I603)</f>
        <v>0</v>
      </c>
      <c r="J604" s="108">
        <f>SUM(J601:J603)</f>
        <v>0</v>
      </c>
      <c r="K604" s="108">
        <f>SUM(K601:K603)</f>
        <v>20920.16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160931.54</v>
      </c>
      <c r="H616" s="109">
        <f>SUM(F51)</f>
        <v>160931.54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6637.81</v>
      </c>
      <c r="H617" s="109">
        <f>SUM(G51)</f>
        <v>6637.81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65335.61</v>
      </c>
      <c r="H618" s="109">
        <f>SUM(H51)</f>
        <v>65335.61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337000.28</v>
      </c>
      <c r="H620" s="109">
        <f>SUM(J51)</f>
        <v>337000.28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140319.20000000001</v>
      </c>
      <c r="H621" s="109">
        <f>F475</f>
        <v>140319.19999999995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337000.28</v>
      </c>
      <c r="H625" s="109">
        <f>J475</f>
        <v>337000.28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1923272.89</v>
      </c>
      <c r="H626" s="104">
        <f>SUM(F467)</f>
        <v>1923272.89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62221.33</v>
      </c>
      <c r="H627" s="104">
        <f>SUM(G467)</f>
        <v>62221.33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143862.87</v>
      </c>
      <c r="H628" s="104">
        <f>SUM(H467)</f>
        <v>143862.87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75219.97</v>
      </c>
      <c r="H630" s="104">
        <f>SUM(J467)</f>
        <v>75219.97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1898671.3800000001</v>
      </c>
      <c r="H631" s="104">
        <f>SUM(F471)</f>
        <v>1898671.38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143862.87</v>
      </c>
      <c r="H632" s="104">
        <f>SUM(H471)</f>
        <v>143862.87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62221.33</v>
      </c>
      <c r="H634" s="104">
        <f>SUM(G471)</f>
        <v>62221.33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75219.97</v>
      </c>
      <c r="H636" s="164">
        <f>SUM(J467)</f>
        <v>75219.97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337000.28</v>
      </c>
      <c r="H639" s="104">
        <f>SUM(G460)</f>
        <v>337000.28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337000.28</v>
      </c>
      <c r="H641" s="104">
        <f>SUM(I460)</f>
        <v>337000.28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219.97</v>
      </c>
      <c r="H643" s="104">
        <f>H407</f>
        <v>219.97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75219.97</v>
      </c>
      <c r="H645" s="104">
        <f>L407</f>
        <v>75219.97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110518.03000000001</v>
      </c>
      <c r="H646" s="104">
        <f>L207+L225+L243</f>
        <v>110518.03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20920.16</v>
      </c>
      <c r="H647" s="104">
        <f>(J256+J337)-(J254+J335)</f>
        <v>20920.159999999996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66746.25</v>
      </c>
      <c r="H648" s="104">
        <f>H597</f>
        <v>66746.25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43771.78</v>
      </c>
      <c r="H650" s="104">
        <f>J597</f>
        <v>43771.78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12028.23</v>
      </c>
      <c r="H651" s="104">
        <f>K262+K344</f>
        <v>12028.23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1480161.5900000003</v>
      </c>
      <c r="G659" s="19">
        <f>(L228+L308+L358)</f>
        <v>0</v>
      </c>
      <c r="H659" s="19">
        <f>(L246+L327+L359)</f>
        <v>533953.97</v>
      </c>
      <c r="I659" s="19">
        <f>SUM(F659:H659)</f>
        <v>2014115.5600000003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12144.58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12144.58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66746.25</v>
      </c>
      <c r="G661" s="19">
        <f>(L225+L305)-(J225+J305)</f>
        <v>0</v>
      </c>
      <c r="H661" s="19">
        <f>(L243+L324)-(J243+J324)</f>
        <v>43771.78</v>
      </c>
      <c r="I661" s="19">
        <f>SUM(F661:H661)</f>
        <v>110518.03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39542.130000000005</v>
      </c>
      <c r="G662" s="199">
        <f>SUM(G574:G586)+SUM(I601:I603)+L611</f>
        <v>0</v>
      </c>
      <c r="H662" s="199">
        <f>SUM(H574:H586)+SUM(J601:J603)+L612</f>
        <v>433654.8</v>
      </c>
      <c r="I662" s="19">
        <f>SUM(F662:H662)</f>
        <v>473196.93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1361728.6300000004</v>
      </c>
      <c r="G663" s="19">
        <f>G659-SUM(G660:G662)</f>
        <v>0</v>
      </c>
      <c r="H663" s="19">
        <f>H659-SUM(H660:H662)</f>
        <v>56527.390000000014</v>
      </c>
      <c r="I663" s="19">
        <f>I659-SUM(I660:I662)</f>
        <v>1418256.0200000003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81.06</v>
      </c>
      <c r="G664" s="248"/>
      <c r="H664" s="248"/>
      <c r="I664" s="19">
        <f>SUM(F664:H664)</f>
        <v>81.06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16799.02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17496.37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-56527.39</v>
      </c>
      <c r="I668" s="19">
        <f>SUM(F668:H668)</f>
        <v>-56527.39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16799.02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16799.02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445442.23</v>
      </c>
      <c r="C9" s="229">
        <f>'DOE25'!G196+'DOE25'!G214+'DOE25'!G232+'DOE25'!G275+'DOE25'!G294+'DOE25'!G313</f>
        <v>121500.75</v>
      </c>
    </row>
    <row r="10" spans="1:3" x14ac:dyDescent="0.2">
      <c r="A10" t="s">
        <v>779</v>
      </c>
      <c r="B10" s="240">
        <f>333365.39+500+19500+8514.48+58658.36+14000+4500+1500+119</f>
        <v>440657.23</v>
      </c>
      <c r="C10" s="240">
        <f>32127.05+1752.99+1612.66-141.87+27365.85+38.25+50.85+28358.04+10851-366.05+326.6+16.92+10+651.37+800.95+6205.24+321.48+200+4487.31+4700.95+1071+169.5+344.24+114.75+56.5+9.11+0.01</f>
        <v>121134.7</v>
      </c>
    </row>
    <row r="11" spans="1:3" x14ac:dyDescent="0.2">
      <c r="A11" t="s">
        <v>780</v>
      </c>
      <c r="B11" s="240">
        <f>4785</f>
        <v>4785</v>
      </c>
      <c r="C11" s="240">
        <f>366.05</f>
        <v>366.05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445442.23</v>
      </c>
      <c r="C13" s="231">
        <f>SUM(C10:C12)</f>
        <v>121500.75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51473.54</v>
      </c>
      <c r="C18" s="229">
        <f>'DOE25'!G197+'DOE25'!G215+'DOE25'!G233+'DOE25'!G276+'DOE25'!G295+'DOE25'!G314</f>
        <v>16301.7</v>
      </c>
    </row>
    <row r="19" spans="1:3" x14ac:dyDescent="0.2">
      <c r="A19" t="s">
        <v>779</v>
      </c>
      <c r="B19" s="240">
        <f>33750+5552.04</f>
        <v>39302.04</v>
      </c>
      <c r="C19" s="240">
        <f>6531.84+338.4+210+3937.78+3813.68+1470-931.12</f>
        <v>15370.58</v>
      </c>
    </row>
    <row r="20" spans="1:3" x14ac:dyDescent="0.2">
      <c r="A20" t="s">
        <v>780</v>
      </c>
      <c r="B20" s="240">
        <f>12171.5</f>
        <v>12171.5</v>
      </c>
      <c r="C20" s="240">
        <v>931.12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51473.54</v>
      </c>
      <c r="C22" s="231">
        <f>SUM(C19:C21)</f>
        <v>16301.7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1295</v>
      </c>
      <c r="C36" s="235">
        <f>'DOE25'!G199+'DOE25'!G217+'DOE25'!G235+'DOE25'!G278+'DOE25'!G297+'DOE25'!G316</f>
        <v>177.61</v>
      </c>
    </row>
    <row r="37" spans="1:3" x14ac:dyDescent="0.2">
      <c r="A37" t="s">
        <v>779</v>
      </c>
      <c r="B37" s="240">
        <v>1295</v>
      </c>
      <c r="C37" s="240">
        <f>99.07+78.54</f>
        <v>177.61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1295</v>
      </c>
      <c r="C40" s="231">
        <f>SUM(C37:C39)</f>
        <v>177.61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STRATFORD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1066898.9300000002</v>
      </c>
      <c r="D5" s="20">
        <f>SUM('DOE25'!L196:L199)+SUM('DOE25'!L214:L217)+SUM('DOE25'!L232:L235)-F5-G5</f>
        <v>1051763.0900000001</v>
      </c>
      <c r="E5" s="243"/>
      <c r="F5" s="255">
        <f>SUM('DOE25'!J196:J199)+SUM('DOE25'!J214:J217)+SUM('DOE25'!J232:J235)</f>
        <v>15201.07</v>
      </c>
      <c r="G5" s="53">
        <f>SUM('DOE25'!K196:K199)+SUM('DOE25'!K214:K217)+SUM('DOE25'!K232:K235)</f>
        <v>-65.22999999999999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71804.52</v>
      </c>
      <c r="D6" s="20">
        <f>'DOE25'!L201+'DOE25'!L219+'DOE25'!L237-F6-G6</f>
        <v>71804.52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33793.22</v>
      </c>
      <c r="D7" s="20">
        <f>'DOE25'!L202+'DOE25'!L220+'DOE25'!L238-F7-G7</f>
        <v>33573.22</v>
      </c>
      <c r="E7" s="243"/>
      <c r="F7" s="255">
        <f>'DOE25'!J202+'DOE25'!J220+'DOE25'!J238</f>
        <v>200</v>
      </c>
      <c r="G7" s="53">
        <f>'DOE25'!K202+'DOE25'!K220+'DOE25'!K238</f>
        <v>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62192.599999999991</v>
      </c>
      <c r="D8" s="243"/>
      <c r="E8" s="20">
        <f>'DOE25'!L203+'DOE25'!L221+'DOE25'!L239-F8-G8-D9-D11</f>
        <v>59405.339999999989</v>
      </c>
      <c r="F8" s="255">
        <f>'DOE25'!J203+'DOE25'!J221+'DOE25'!J239</f>
        <v>0</v>
      </c>
      <c r="G8" s="53">
        <f>'DOE25'!K203+'DOE25'!K221+'DOE25'!K239</f>
        <v>2787.26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23096.95</v>
      </c>
      <c r="D9" s="244">
        <v>23096.95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46609.120000000003</v>
      </c>
      <c r="D11" s="244">
        <v>46609.120000000003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153791.36000000002</v>
      </c>
      <c r="D12" s="20">
        <f>'DOE25'!L204+'DOE25'!L222+'DOE25'!L240-F12-G12</f>
        <v>151083.15000000002</v>
      </c>
      <c r="E12" s="243"/>
      <c r="F12" s="255">
        <f>'DOE25'!J204+'DOE25'!J222+'DOE25'!J240</f>
        <v>523.46</v>
      </c>
      <c r="G12" s="53">
        <f>'DOE25'!K204+'DOE25'!K222+'DOE25'!K240</f>
        <v>2184.75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239326.63</v>
      </c>
      <c r="D14" s="20">
        <f>'DOE25'!L206+'DOE25'!L224+'DOE25'!L242-F14-G14</f>
        <v>237486.58000000002</v>
      </c>
      <c r="E14" s="243"/>
      <c r="F14" s="255">
        <f>'DOE25'!J206+'DOE25'!J224+'DOE25'!J242</f>
        <v>1840.05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110518.03</v>
      </c>
      <c r="D15" s="20">
        <f>'DOE25'!L207+'DOE25'!L225+'DOE25'!L243-F15-G15</f>
        <v>110518.03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3611.79</v>
      </c>
      <c r="D22" s="243"/>
      <c r="E22" s="243"/>
      <c r="F22" s="255">
        <f>'DOE25'!L254+'DOE25'!L335</f>
        <v>3611.79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62221.33</v>
      </c>
      <c r="D29" s="20">
        <f>'DOE25'!L357+'DOE25'!L358+'DOE25'!L359-'DOE25'!I366-F29-G29</f>
        <v>61886.05</v>
      </c>
      <c r="E29" s="243"/>
      <c r="F29" s="255">
        <f>'DOE25'!J357+'DOE25'!J358+'DOE25'!J359</f>
        <v>335.28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143862.87</v>
      </c>
      <c r="D31" s="20">
        <f>'DOE25'!L289+'DOE25'!L308+'DOE25'!L327+'DOE25'!L332+'DOE25'!L333+'DOE25'!L334-F31-G31</f>
        <v>140554.81</v>
      </c>
      <c r="E31" s="243"/>
      <c r="F31" s="255">
        <f>'DOE25'!J289+'DOE25'!J308+'DOE25'!J327+'DOE25'!J332+'DOE25'!J333+'DOE25'!J334</f>
        <v>3155.58</v>
      </c>
      <c r="G31" s="53">
        <f>'DOE25'!K289+'DOE25'!K308+'DOE25'!K327+'DOE25'!K332+'DOE25'!K333+'DOE25'!K334</f>
        <v>152.47999999999999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1928375.5200000005</v>
      </c>
      <c r="E33" s="246">
        <f>SUM(E5:E31)</f>
        <v>66405.34</v>
      </c>
      <c r="F33" s="246">
        <f>SUM(F5:F31)</f>
        <v>24867.229999999996</v>
      </c>
      <c r="G33" s="246">
        <f>SUM(G5:G31)</f>
        <v>5079.26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66405.34</v>
      </c>
      <c r="E35" s="249"/>
    </row>
    <row r="36" spans="2:8" ht="12" thickTop="1" x14ac:dyDescent="0.2">
      <c r="B36" t="s">
        <v>815</v>
      </c>
      <c r="D36" s="20">
        <f>D33</f>
        <v>1928375.5200000005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64993.73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337000.28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68652.66</v>
      </c>
      <c r="D11" s="95">
        <f>'DOE25'!G12</f>
        <v>0</v>
      </c>
      <c r="E11" s="95">
        <f>'DOE25'!H12</f>
        <v>3320.76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27285.15</v>
      </c>
      <c r="D13" s="95">
        <f>'DOE25'!G14</f>
        <v>6637.81</v>
      </c>
      <c r="E13" s="95">
        <f>'DOE25'!H14</f>
        <v>62014.85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160931.54</v>
      </c>
      <c r="D18" s="41">
        <f>SUM(D8:D17)</f>
        <v>6637.81</v>
      </c>
      <c r="E18" s="41">
        <f>SUM(E8:E17)</f>
        <v>65335.61</v>
      </c>
      <c r="F18" s="41">
        <f>SUM(F8:F17)</f>
        <v>0</v>
      </c>
      <c r="G18" s="41">
        <f>SUM(G8:G17)</f>
        <v>337000.28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3320.76</v>
      </c>
      <c r="D21" s="95">
        <f>'DOE25'!G22</f>
        <v>6637.81</v>
      </c>
      <c r="E21" s="95">
        <f>'DOE25'!H22</f>
        <v>62014.85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17291.580000000002</v>
      </c>
      <c r="D27" s="95">
        <f>'DOE25'!G28</f>
        <v>0</v>
      </c>
      <c r="E27" s="95">
        <f>'DOE25'!H28</f>
        <v>3320.76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20612.340000000004</v>
      </c>
      <c r="D31" s="41">
        <f>SUM(D21:D30)</f>
        <v>6637.81</v>
      </c>
      <c r="E31" s="41">
        <f>SUM(E21:E30)</f>
        <v>65335.61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24314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337000.28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91005.2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140319.20000000001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337000.28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160931.54</v>
      </c>
      <c r="D50" s="41">
        <f>D49+D31</f>
        <v>6637.81</v>
      </c>
      <c r="E50" s="41">
        <f>E49+E31</f>
        <v>65335.61</v>
      </c>
      <c r="F50" s="41">
        <f>F49+F31</f>
        <v>0</v>
      </c>
      <c r="G50" s="41">
        <f>G49+G31</f>
        <v>337000.28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867876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67721.67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714.79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219.97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12144.58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33588.94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102025.4</v>
      </c>
      <c r="D61" s="130">
        <f>SUM(D56:D60)</f>
        <v>12144.58</v>
      </c>
      <c r="E61" s="130">
        <f>SUM(E56:E60)</f>
        <v>0</v>
      </c>
      <c r="F61" s="130">
        <f>SUM(F56:F60)</f>
        <v>0</v>
      </c>
      <c r="G61" s="130">
        <f>SUM(G56:G60)</f>
        <v>219.97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969901.4</v>
      </c>
      <c r="D62" s="22">
        <f>D55+D61</f>
        <v>12144.58</v>
      </c>
      <c r="E62" s="22">
        <f>E55+E61</f>
        <v>0</v>
      </c>
      <c r="F62" s="22">
        <f>F55+F61</f>
        <v>0</v>
      </c>
      <c r="G62" s="22">
        <f>G55+G61</f>
        <v>219.97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805454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104698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910152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538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538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910152</v>
      </c>
      <c r="D80" s="130">
        <f>SUM(D78:D79)+D77+D69</f>
        <v>538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43219.49</v>
      </c>
      <c r="D87" s="95">
        <f>SUM('DOE25'!G152:G160)</f>
        <v>37510.519999999997</v>
      </c>
      <c r="E87" s="95">
        <f>SUM('DOE25'!H152:H160)</f>
        <v>143862.87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43219.49</v>
      </c>
      <c r="D90" s="131">
        <f>SUM(D84:D89)</f>
        <v>37510.519999999997</v>
      </c>
      <c r="E90" s="131">
        <f>SUM(E84:E89)</f>
        <v>143862.87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12028.23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12028.23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1923272.89</v>
      </c>
      <c r="D103" s="86">
        <f>D62+D80+D90+D102</f>
        <v>62221.33</v>
      </c>
      <c r="E103" s="86">
        <f>E62+E80+E90+E102</f>
        <v>143862.87</v>
      </c>
      <c r="F103" s="86">
        <f>F62+F80+F90+F102</f>
        <v>0</v>
      </c>
      <c r="G103" s="86">
        <f>G62+G80+G102</f>
        <v>75219.97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863954.26</v>
      </c>
      <c r="D108" s="24" t="s">
        <v>289</v>
      </c>
      <c r="E108" s="95">
        <f>('DOE25'!L275)+('DOE25'!L294)+('DOE25'!L313)</f>
        <v>143862.87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201278.06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1666.6100000000001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1066898.9300000002</v>
      </c>
      <c r="D114" s="86">
        <f>SUM(D108:D113)</f>
        <v>0</v>
      </c>
      <c r="E114" s="86">
        <f>SUM(E108:E113)</f>
        <v>143862.87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71804.52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33793.22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131898.66999999998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153791.36000000002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239326.63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110518.03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62221.33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741132.43</v>
      </c>
      <c r="D127" s="86">
        <f>SUM(D117:D126)</f>
        <v>62221.33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3611.79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12028.23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75219.97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-219.97000000000116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90640.02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1898671.3800000004</v>
      </c>
      <c r="D144" s="86">
        <f>(D114+D127+D143)</f>
        <v>62221.33</v>
      </c>
      <c r="E144" s="86">
        <f>(E114+E127+E143)</f>
        <v>143862.87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STRATFORD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16799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16799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1007817</v>
      </c>
      <c r="D10" s="182">
        <f>ROUND((C10/$C$28)*100,1)</f>
        <v>50.3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201278</v>
      </c>
      <c r="D11" s="182">
        <f>ROUND((C11/$C$28)*100,1)</f>
        <v>10.1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1667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71805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33793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131899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153791</v>
      </c>
      <c r="D18" s="182">
        <f t="shared" si="0"/>
        <v>7.7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239327</v>
      </c>
      <c r="D20" s="182">
        <f t="shared" si="0"/>
        <v>12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110518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50076.42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2001971.42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3612</v>
      </c>
    </row>
    <row r="30" spans="1:4" x14ac:dyDescent="0.2">
      <c r="B30" s="187" t="s">
        <v>729</v>
      </c>
      <c r="C30" s="180">
        <f>SUM(C28:C29)</f>
        <v>2005583.42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867876</v>
      </c>
      <c r="D35" s="182">
        <f t="shared" ref="D35:D40" si="1">ROUND((C35/$C$41)*100,1)</f>
        <v>41.2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102245.37</v>
      </c>
      <c r="D36" s="182">
        <f t="shared" si="1"/>
        <v>4.9000000000000004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910152</v>
      </c>
      <c r="D37" s="182">
        <f t="shared" si="1"/>
        <v>43.2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538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224593</v>
      </c>
      <c r="D39" s="182">
        <f t="shared" si="1"/>
        <v>10.7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2105404.37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STRATFORD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C32:DM32"/>
    <mergeCell ref="DP30:DZ30"/>
    <mergeCell ref="CC32:CM32"/>
    <mergeCell ref="DC29:DM29"/>
    <mergeCell ref="EC38:EM38"/>
    <mergeCell ref="DC31:DM31"/>
    <mergeCell ref="DP31:DZ31"/>
    <mergeCell ref="EC31:EM31"/>
    <mergeCell ref="EP31:EZ31"/>
    <mergeCell ref="BC31:BM31"/>
    <mergeCell ref="BC32:BM32"/>
    <mergeCell ref="BC39:BM39"/>
    <mergeCell ref="BP31:BZ31"/>
    <mergeCell ref="CC31:CM31"/>
    <mergeCell ref="EC30:EM30"/>
    <mergeCell ref="EP30:EZ30"/>
    <mergeCell ref="DP32:DZ32"/>
    <mergeCell ref="EC32:EM32"/>
    <mergeCell ref="EP32:EZ32"/>
    <mergeCell ref="FC32:FM32"/>
    <mergeCell ref="BP32:BZ32"/>
    <mergeCell ref="CP31:CZ31"/>
    <mergeCell ref="FP32:F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BP38:BZ38"/>
    <mergeCell ref="CC38:CM38"/>
    <mergeCell ref="GC32:GM32"/>
    <mergeCell ref="DC38:DM38"/>
    <mergeCell ref="DP38:DZ38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C42:M42"/>
    <mergeCell ref="BP40:BZ40"/>
    <mergeCell ref="FC40:FM40"/>
    <mergeCell ref="FP40:FZ40"/>
    <mergeCell ref="AC40:AM40"/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2013-09-09T12:31:10Z</cp:lastPrinted>
  <dcterms:created xsi:type="dcterms:W3CDTF">1997-12-04T19:04:30Z</dcterms:created>
  <dcterms:modified xsi:type="dcterms:W3CDTF">2013-09-09T12:32:41Z</dcterms:modified>
</cp:coreProperties>
</file>