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L246" i="1" s="1"/>
  <c r="F14" i="13"/>
  <c r="G14" i="13"/>
  <c r="L206" i="1"/>
  <c r="L224" i="1"/>
  <c r="L242" i="1"/>
  <c r="F15" i="13"/>
  <c r="G15" i="13"/>
  <c r="L207" i="1"/>
  <c r="F661" i="1" s="1"/>
  <c r="I661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61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C19" i="10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2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I111" i="1" s="1"/>
  <c r="F78" i="1"/>
  <c r="C56" i="2" s="1"/>
  <c r="F93" i="1"/>
  <c r="F110" i="1"/>
  <c r="G110" i="1"/>
  <c r="G111" i="1" s="1"/>
  <c r="H78" i="1"/>
  <c r="H93" i="1"/>
  <c r="H110" i="1"/>
  <c r="I110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6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10" i="1"/>
  <c r="L228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C22" i="2"/>
  <c r="D22" i="2"/>
  <c r="D31" i="2" s="1"/>
  <c r="E22" i="2"/>
  <c r="E31" i="2" s="1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 s="1"/>
  <c r="I458" i="1"/>
  <c r="J47" i="1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 s="1"/>
  <c r="F68" i="2"/>
  <c r="F69" i="2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/>
  <c r="E134" i="2"/>
  <c r="L263" i="1"/>
  <c r="C135" i="2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/>
  <c r="H499" i="1"/>
  <c r="D160" i="2" s="1"/>
  <c r="I499" i="1"/>
  <c r="E160" i="2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/>
  <c r="H502" i="1"/>
  <c r="D163" i="2" s="1"/>
  <c r="I502" i="1"/>
  <c r="E163" i="2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50" i="1"/>
  <c r="G622" i="1" s="1"/>
  <c r="H50" i="1"/>
  <c r="G623" i="1" s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J192" i="1" s="1"/>
  <c r="F187" i="1"/>
  <c r="G187" i="1"/>
  <c r="H187" i="1"/>
  <c r="I187" i="1"/>
  <c r="F210" i="1"/>
  <c r="G210" i="1"/>
  <c r="G256" i="1" s="1"/>
  <c r="G270" i="1" s="1"/>
  <c r="H210" i="1"/>
  <c r="H256" i="1" s="1"/>
  <c r="H270" i="1" s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L336" i="1" s="1"/>
  <c r="J337" i="1"/>
  <c r="J351" i="1" s="1"/>
  <c r="K336" i="1"/>
  <c r="K337" i="1"/>
  <c r="K351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1" i="1"/>
  <c r="F459" i="1"/>
  <c r="F460" i="1" s="1"/>
  <c r="H638" i="1" s="1"/>
  <c r="G459" i="1"/>
  <c r="H459" i="1"/>
  <c r="I459" i="1"/>
  <c r="G460" i="1"/>
  <c r="H460" i="1"/>
  <c r="I460" i="1"/>
  <c r="H641" i="1" s="1"/>
  <c r="F469" i="1"/>
  <c r="G469" i="1"/>
  <c r="H469" i="1"/>
  <c r="H475" i="1" s="1"/>
  <c r="H623" i="1" s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1" i="1"/>
  <c r="G624" i="1"/>
  <c r="J624" i="1" s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9" i="1"/>
  <c r="H639" i="1"/>
  <c r="G640" i="1"/>
  <c r="H640" i="1"/>
  <c r="G642" i="1"/>
  <c r="J642" i="1" s="1"/>
  <c r="G643" i="1"/>
  <c r="G644" i="1"/>
  <c r="H646" i="1"/>
  <c r="G648" i="1"/>
  <c r="G649" i="1"/>
  <c r="G650" i="1"/>
  <c r="G651" i="1"/>
  <c r="H651" i="1"/>
  <c r="G652" i="1"/>
  <c r="H652" i="1"/>
  <c r="G653" i="1"/>
  <c r="J653" i="1" s="1"/>
  <c r="H653" i="1"/>
  <c r="H654" i="1"/>
  <c r="J654" i="1" s="1"/>
  <c r="F191" i="1"/>
  <c r="L255" i="1"/>
  <c r="K256" i="1"/>
  <c r="K270" i="1" s="1"/>
  <c r="G159" i="2"/>
  <c r="C18" i="2"/>
  <c r="F31" i="2"/>
  <c r="C26" i="10"/>
  <c r="L327" i="1"/>
  <c r="L350" i="1"/>
  <c r="L289" i="1"/>
  <c r="F659" i="1" s="1"/>
  <c r="A31" i="12"/>
  <c r="C69" i="2"/>
  <c r="C80" i="2" s="1"/>
  <c r="A40" i="12"/>
  <c r="D12" i="13"/>
  <c r="C12" i="13" s="1"/>
  <c r="G161" i="2"/>
  <c r="D61" i="2"/>
  <c r="D62" i="2" s="1"/>
  <c r="E49" i="2"/>
  <c r="D18" i="13"/>
  <c r="C18" i="13"/>
  <c r="D15" i="13"/>
  <c r="C15" i="13" s="1"/>
  <c r="D7" i="13"/>
  <c r="C7" i="13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80" i="2" s="1"/>
  <c r="F103" i="2" s="1"/>
  <c r="F61" i="2"/>
  <c r="F62" i="2"/>
  <c r="C77" i="2"/>
  <c r="D49" i="2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D29" i="13"/>
  <c r="C29" i="13" s="1"/>
  <c r="D19" i="13"/>
  <c r="C19" i="13"/>
  <c r="D14" i="13"/>
  <c r="C14" i="13" s="1"/>
  <c r="E13" i="13"/>
  <c r="C13" i="13"/>
  <c r="E77" i="2"/>
  <c r="L426" i="1"/>
  <c r="L433" i="1" s="1"/>
  <c r="G637" i="1" s="1"/>
  <c r="J637" i="1" s="1"/>
  <c r="J256" i="1"/>
  <c r="H111" i="1"/>
  <c r="F111" i="1"/>
  <c r="J640" i="1"/>
  <c r="J570" i="1"/>
  <c r="K570" i="1"/>
  <c r="L432" i="1"/>
  <c r="L418" i="1"/>
  <c r="D80" i="2"/>
  <c r="I168" i="1"/>
  <c r="H168" i="1"/>
  <c r="G551" i="1"/>
  <c r="J475" i="1"/>
  <c r="H625" i="1" s="1"/>
  <c r="I475" i="1"/>
  <c r="H624" i="1"/>
  <c r="G475" i="1"/>
  <c r="H622" i="1" s="1"/>
  <c r="G337" i="1"/>
  <c r="G351" i="1" s="1"/>
  <c r="F168" i="1"/>
  <c r="J139" i="1"/>
  <c r="F570" i="1"/>
  <c r="I551" i="1"/>
  <c r="K549" i="1"/>
  <c r="K597" i="1"/>
  <c r="G646" i="1" s="1"/>
  <c r="J551" i="1"/>
  <c r="C29" i="10"/>
  <c r="H139" i="1"/>
  <c r="L392" i="1"/>
  <c r="A13" i="12"/>
  <c r="F22" i="13"/>
  <c r="H25" i="13"/>
  <c r="C25" i="13" s="1"/>
  <c r="J650" i="1"/>
  <c r="J639" i="1"/>
  <c r="L559" i="1"/>
  <c r="J544" i="1"/>
  <c r="H337" i="1"/>
  <c r="H351" i="1" s="1"/>
  <c r="F337" i="1"/>
  <c r="F351" i="1"/>
  <c r="G191" i="1"/>
  <c r="H191" i="1"/>
  <c r="E127" i="2"/>
  <c r="E144" i="2"/>
  <c r="C35" i="10"/>
  <c r="L308" i="1"/>
  <c r="G659" i="1" s="1"/>
  <c r="D5" i="13"/>
  <c r="E16" i="13"/>
  <c r="C49" i="2"/>
  <c r="L569" i="1"/>
  <c r="I570" i="1"/>
  <c r="I544" i="1"/>
  <c r="J635" i="1"/>
  <c r="G36" i="2"/>
  <c r="L564" i="1"/>
  <c r="G544" i="1"/>
  <c r="C22" i="13"/>
  <c r="C137" i="2"/>
  <c r="C16" i="13"/>
  <c r="C24" i="10"/>
  <c r="G31" i="13"/>
  <c r="G33" i="13" s="1"/>
  <c r="I337" i="1"/>
  <c r="I351" i="1"/>
  <c r="J649" i="1"/>
  <c r="L406" i="1"/>
  <c r="C139" i="2" s="1"/>
  <c r="I191" i="1"/>
  <c r="E90" i="2"/>
  <c r="J652" i="1"/>
  <c r="G31" i="2"/>
  <c r="J32" i="1"/>
  <c r="F433" i="1"/>
  <c r="K433" i="1"/>
  <c r="G133" i="2"/>
  <c r="G143" i="2"/>
  <c r="G144" i="2" s="1"/>
  <c r="C6" i="10"/>
  <c r="F31" i="13"/>
  <c r="F33" i="13" s="1"/>
  <c r="G168" i="1"/>
  <c r="G139" i="1"/>
  <c r="F139" i="1"/>
  <c r="C5" i="10"/>
  <c r="G42" i="2"/>
  <c r="G16" i="2"/>
  <c r="H433" i="1"/>
  <c r="D102" i="2"/>
  <c r="I139" i="1"/>
  <c r="I192" i="1"/>
  <c r="G629" i="1" s="1"/>
  <c r="J629" i="1" s="1"/>
  <c r="J651" i="1"/>
  <c r="G570" i="1"/>
  <c r="I433" i="1"/>
  <c r="G433" i="1"/>
  <c r="I662" i="1"/>
  <c r="H544" i="1" l="1"/>
  <c r="F544" i="1"/>
  <c r="L544" i="1"/>
  <c r="K544" i="1"/>
  <c r="I445" i="1"/>
  <c r="G641" i="1" s="1"/>
  <c r="G46" i="2"/>
  <c r="G49" i="2" s="1"/>
  <c r="G50" i="2" s="1"/>
  <c r="J50" i="1"/>
  <c r="G625" i="1" s="1"/>
  <c r="J641" i="1"/>
  <c r="J638" i="1"/>
  <c r="J625" i="1"/>
  <c r="J644" i="1"/>
  <c r="G645" i="1"/>
  <c r="G630" i="1"/>
  <c r="J630" i="1" s="1"/>
  <c r="L337" i="1"/>
  <c r="L351" i="1" s="1"/>
  <c r="G632" i="1" s="1"/>
  <c r="J632" i="1" s="1"/>
  <c r="D31" i="13"/>
  <c r="C31" i="13" s="1"/>
  <c r="F51" i="1"/>
  <c r="H616" i="1" s="1"/>
  <c r="J616" i="1" s="1"/>
  <c r="K604" i="1"/>
  <c r="G647" i="1" s="1"/>
  <c r="C140" i="2"/>
  <c r="C143" i="2" s="1"/>
  <c r="F192" i="1"/>
  <c r="G626" i="1" s="1"/>
  <c r="J626" i="1" s="1"/>
  <c r="J623" i="1"/>
  <c r="J622" i="1"/>
  <c r="F475" i="1"/>
  <c r="H621" i="1" s="1"/>
  <c r="J621" i="1" s="1"/>
  <c r="J633" i="1"/>
  <c r="E50" i="2"/>
  <c r="H51" i="1"/>
  <c r="H618" i="1" s="1"/>
  <c r="J618" i="1" s="1"/>
  <c r="C31" i="2"/>
  <c r="C50" i="2" s="1"/>
  <c r="D50" i="2"/>
  <c r="J617" i="1"/>
  <c r="G51" i="1"/>
  <c r="H617" i="1" s="1"/>
  <c r="C36" i="10"/>
  <c r="H192" i="1"/>
  <c r="G628" i="1" s="1"/>
  <c r="J628" i="1" s="1"/>
  <c r="H660" i="1"/>
  <c r="G660" i="1"/>
  <c r="G663" i="1" s="1"/>
  <c r="G666" i="1" s="1"/>
  <c r="D103" i="2"/>
  <c r="G192" i="1"/>
  <c r="G627" i="1" s="1"/>
  <c r="J627" i="1" s="1"/>
  <c r="C114" i="2"/>
  <c r="E33" i="13"/>
  <c r="D35" i="13" s="1"/>
  <c r="I256" i="1"/>
  <c r="I270" i="1" s="1"/>
  <c r="J646" i="1"/>
  <c r="C61" i="2"/>
  <c r="C62" i="2" s="1"/>
  <c r="C103" i="2" s="1"/>
  <c r="F660" i="1"/>
  <c r="C10" i="10"/>
  <c r="G634" i="1"/>
  <c r="J634" i="1" s="1"/>
  <c r="C27" i="10"/>
  <c r="C127" i="2"/>
  <c r="C38" i="10"/>
  <c r="L570" i="1"/>
  <c r="H33" i="13"/>
  <c r="C5" i="13"/>
  <c r="K548" i="1"/>
  <c r="K551" i="1" s="1"/>
  <c r="G80" i="2"/>
  <c r="G8" i="2"/>
  <c r="G18" i="2" s="1"/>
  <c r="J19" i="1"/>
  <c r="G620" i="1" s="1"/>
  <c r="C39" i="10"/>
  <c r="J270" i="1"/>
  <c r="H647" i="1"/>
  <c r="K550" i="1"/>
  <c r="L407" i="1"/>
  <c r="H659" i="1"/>
  <c r="L256" i="1"/>
  <c r="L270" i="1" s="1"/>
  <c r="G631" i="1" s="1"/>
  <c r="J631" i="1" s="1"/>
  <c r="G103" i="2"/>
  <c r="E80" i="2"/>
  <c r="E103" i="2" s="1"/>
  <c r="I659" i="1"/>
  <c r="J648" i="1"/>
  <c r="G160" i="2"/>
  <c r="K502" i="1"/>
  <c r="J51" i="1" l="1"/>
  <c r="H620" i="1" s="1"/>
  <c r="D33" i="13"/>
  <c r="D36" i="13" s="1"/>
  <c r="J647" i="1"/>
  <c r="I660" i="1"/>
  <c r="H663" i="1"/>
  <c r="H666" i="1" s="1"/>
  <c r="G671" i="1"/>
  <c r="I663" i="1"/>
  <c r="I666" i="1" s="1"/>
  <c r="F663" i="1"/>
  <c r="C144" i="2"/>
  <c r="C28" i="10"/>
  <c r="D24" i="10" s="1"/>
  <c r="C41" i="10"/>
  <c r="H671" i="1"/>
  <c r="J620" i="1"/>
  <c r="H645" i="1"/>
  <c r="J645" i="1" s="1"/>
  <c r="G636" i="1"/>
  <c r="J636" i="1" s="1"/>
  <c r="I671" i="1" l="1"/>
  <c r="C7" i="10" s="1"/>
  <c r="F666" i="1"/>
  <c r="F671" i="1"/>
  <c r="C4" i="10" s="1"/>
  <c r="D16" i="10"/>
  <c r="D20" i="10"/>
  <c r="D26" i="10"/>
  <c r="D25" i="10"/>
  <c r="D21" i="10"/>
  <c r="C30" i="10"/>
  <c r="D11" i="10"/>
  <c r="D19" i="10"/>
  <c r="D18" i="10"/>
  <c r="D17" i="10"/>
  <c r="D23" i="10"/>
  <c r="D10" i="10"/>
  <c r="D12" i="10"/>
  <c r="D27" i="10"/>
  <c r="D15" i="10"/>
  <c r="D13" i="10"/>
  <c r="D22" i="10"/>
  <c r="H655" i="1"/>
  <c r="D37" i="10"/>
  <c r="D36" i="10"/>
  <c r="D40" i="10"/>
  <c r="D35" i="10"/>
  <c r="D38" i="10"/>
  <c r="D39" i="10"/>
  <c r="D41" i="10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<sst xmlns="http://schemas.openxmlformats.org/spreadsheetml/2006/main" count="3950" uniqueCount="910">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</sst>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Q9" sqref="Q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511</v>
      </c>
      <c r="C2" s="21">
        <v>511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-226570.64</v>
      </c>
      <c r="G9" s="18"/>
      <c r="H9" s="18"/>
      <c r="I9" s="18"/>
      <c r="J9" s="67">
        <f>SUM(I438)</f>
        <v>283434.43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966537.24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26989.08</v>
      </c>
      <c r="G14" s="18">
        <v>9661.7199999999993</v>
      </c>
      <c r="H14" s="18">
        <v>92980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3776.01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766955.67999999993</v>
      </c>
      <c r="G19" s="41">
        <f>SUM(G9:G18)</f>
        <v>13437.73</v>
      </c>
      <c r="H19" s="41">
        <f>SUM(H9:H18)</f>
        <v>92980</v>
      </c>
      <c r="I19" s="41">
        <f>SUM(I9:I18)</f>
        <v>0</v>
      </c>
      <c r="J19" s="41">
        <f>SUM(J9:J18)</f>
        <v>283434.43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-82350.94</v>
      </c>
      <c r="G23" s="18">
        <v>6707.87</v>
      </c>
      <c r="H23" s="18">
        <v>75703.06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181755.89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 t="s">
        <v>287</v>
      </c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362655.19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462060.14</v>
      </c>
      <c r="G32" s="41">
        <f>SUM(G22:G31)</f>
        <v>6707.87</v>
      </c>
      <c r="H32" s="41">
        <f>SUM(H22:H31)</f>
        <v>75703.06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283434.43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6729.86</v>
      </c>
      <c r="H48" s="18">
        <v>17276.939999999999</v>
      </c>
      <c r="I48" s="18" t="s">
        <v>287</v>
      </c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304895.53999999998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304895.53999999998</v>
      </c>
      <c r="G50" s="41">
        <f>SUM(G35:G49)</f>
        <v>6729.86</v>
      </c>
      <c r="H50" s="41">
        <f>SUM(H35:H49)</f>
        <v>17276.939999999999</v>
      </c>
      <c r="I50" s="41">
        <f>SUM(I35:I49)</f>
        <v>0</v>
      </c>
      <c r="J50" s="41">
        <f>SUM(J35:J49)</f>
        <v>283434.43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766955.67999999993</v>
      </c>
      <c r="G51" s="41">
        <f>G50+G32</f>
        <v>13437.73</v>
      </c>
      <c r="H51" s="41">
        <f>H50+H32</f>
        <v>92980</v>
      </c>
      <c r="I51" s="41">
        <f>I50+I32</f>
        <v>0</v>
      </c>
      <c r="J51" s="41">
        <f>J50+J32</f>
        <v>283434.43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7421980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7421980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4250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4250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459.66</v>
      </c>
      <c r="G95" s="18"/>
      <c r="H95" s="18"/>
      <c r="I95" s="18"/>
      <c r="J95" s="18">
        <v>244.53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105507.89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1142.0999999999999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9.35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549.0100000000001</v>
      </c>
      <c r="G110" s="41">
        <f>SUM(G95:G109)</f>
        <v>105507.89</v>
      </c>
      <c r="H110" s="41">
        <f>SUM(H95:H109)</f>
        <v>1142.0999999999999</v>
      </c>
      <c r="I110" s="41">
        <f>SUM(I95:I109)</f>
        <v>0</v>
      </c>
      <c r="J110" s="41">
        <f>SUM(J95:J109)</f>
        <v>244.53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7426779.0099999998</v>
      </c>
      <c r="G111" s="41">
        <f>G59+G110</f>
        <v>105507.89</v>
      </c>
      <c r="H111" s="41">
        <f>H59+H78+H93+H110</f>
        <v>1142.0999999999999</v>
      </c>
      <c r="I111" s="41">
        <f>I59+I110</f>
        <v>0</v>
      </c>
      <c r="J111" s="41">
        <f>J59+J110</f>
        <v>244.53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637837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1206057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1843894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17145.68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2548.3200000000002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17145.68</v>
      </c>
      <c r="G135" s="41">
        <f>SUM(G122:G134)</f>
        <v>2548.3200000000002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1861039.68</v>
      </c>
      <c r="G139" s="41">
        <f>G120+SUM(G135:G136)</f>
        <v>2548.3200000000002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115697.16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56862.81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56862.81</v>
      </c>
      <c r="G161" s="41">
        <f>SUM(G149:G160)</f>
        <v>115697.16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56862.81</v>
      </c>
      <c r="G168" s="41">
        <f>G146+G161+SUM(G162:G167)</f>
        <v>115697.16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175000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175000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>
        <v>92980</v>
      </c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 t="s">
        <v>287</v>
      </c>
      <c r="G185" s="18"/>
      <c r="H185" s="18" t="s">
        <v>287</v>
      </c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92980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92980</v>
      </c>
      <c r="I191" s="41">
        <f>I176+I182+SUM(I187:I190)</f>
        <v>0</v>
      </c>
      <c r="J191" s="41">
        <f>J182</f>
        <v>175000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9344681.5</v>
      </c>
      <c r="G192" s="47">
        <f>G111+G139+G168+G191</f>
        <v>223753.37</v>
      </c>
      <c r="H192" s="47">
        <f>H111+H139+H168+H191</f>
        <v>94122.1</v>
      </c>
      <c r="I192" s="47">
        <f>I111+I139+I168+I191</f>
        <v>0</v>
      </c>
      <c r="J192" s="47">
        <f>J111+J139+J191</f>
        <v>175244.53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3250275.98</v>
      </c>
      <c r="G196" s="18">
        <v>790108.95</v>
      </c>
      <c r="H196" s="18">
        <v>26341.1</v>
      </c>
      <c r="I196" s="18">
        <v>70428.990000000005</v>
      </c>
      <c r="J196" s="18">
        <v>6696.03</v>
      </c>
      <c r="K196" s="18"/>
      <c r="L196" s="19">
        <f>SUM(F196:K196)</f>
        <v>4143851.05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1029472.19</v>
      </c>
      <c r="G197" s="18">
        <v>299513.68</v>
      </c>
      <c r="H197" s="18">
        <v>151574.20000000001</v>
      </c>
      <c r="I197" s="18">
        <v>10035.69</v>
      </c>
      <c r="J197" s="18">
        <v>7566.17</v>
      </c>
      <c r="K197" s="18"/>
      <c r="L197" s="19">
        <f>SUM(F197:K197)</f>
        <v>1498161.9299999997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1500</v>
      </c>
      <c r="I199" s="18"/>
      <c r="J199" s="18"/>
      <c r="K199" s="18"/>
      <c r="L199" s="19">
        <f>SUM(F199:K199)</f>
        <v>1500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649986.65</v>
      </c>
      <c r="G201" s="18">
        <v>365476.98</v>
      </c>
      <c r="H201" s="18">
        <v>20328.04</v>
      </c>
      <c r="I201" s="18">
        <v>2363.64</v>
      </c>
      <c r="J201" s="18"/>
      <c r="K201" s="18"/>
      <c r="L201" s="19">
        <f t="shared" ref="L201:L207" si="0">SUM(F201:K201)</f>
        <v>1038155.31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233390.11</v>
      </c>
      <c r="G202" s="18">
        <v>133117.22</v>
      </c>
      <c r="H202" s="18">
        <v>112123.34</v>
      </c>
      <c r="I202" s="18">
        <v>27109.52</v>
      </c>
      <c r="J202" s="18">
        <v>28008.11</v>
      </c>
      <c r="K202" s="18"/>
      <c r="L202" s="19">
        <f t="shared" si="0"/>
        <v>533748.29999999993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6316.6</v>
      </c>
      <c r="G203" s="18"/>
      <c r="H203" s="18">
        <v>260111.78</v>
      </c>
      <c r="I203" s="18"/>
      <c r="J203" s="18"/>
      <c r="K203" s="18">
        <v>3646.93</v>
      </c>
      <c r="L203" s="19">
        <f t="shared" si="0"/>
        <v>270075.31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262942.19</v>
      </c>
      <c r="G204" s="18">
        <v>349726.25</v>
      </c>
      <c r="H204" s="18">
        <v>32671.8</v>
      </c>
      <c r="I204" s="18">
        <v>4068.03</v>
      </c>
      <c r="J204" s="18">
        <v>1225.28</v>
      </c>
      <c r="K204" s="18">
        <v>11698.6</v>
      </c>
      <c r="L204" s="19">
        <f t="shared" si="0"/>
        <v>662332.15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156414.42000000001</v>
      </c>
      <c r="G206" s="18">
        <v>209941.61</v>
      </c>
      <c r="H206" s="18">
        <v>71152.649999999994</v>
      </c>
      <c r="I206" s="18">
        <v>159718.9</v>
      </c>
      <c r="J206" s="18">
        <v>647.73</v>
      </c>
      <c r="K206" s="18"/>
      <c r="L206" s="19">
        <f t="shared" si="0"/>
        <v>597875.31000000006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385388.55</v>
      </c>
      <c r="I207" s="18"/>
      <c r="J207" s="18"/>
      <c r="K207" s="18"/>
      <c r="L207" s="19">
        <f t="shared" si="0"/>
        <v>385388.55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5588798.1400000006</v>
      </c>
      <c r="G210" s="41">
        <f t="shared" si="1"/>
        <v>2147884.69</v>
      </c>
      <c r="H210" s="41">
        <f t="shared" si="1"/>
        <v>1061191.4600000002</v>
      </c>
      <c r="I210" s="41">
        <f t="shared" si="1"/>
        <v>273724.77</v>
      </c>
      <c r="J210" s="41">
        <f t="shared" si="1"/>
        <v>44143.32</v>
      </c>
      <c r="K210" s="41">
        <f t="shared" si="1"/>
        <v>15345.53</v>
      </c>
      <c r="L210" s="41">
        <f t="shared" si="1"/>
        <v>9131087.9100000001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18262.560000000001</v>
      </c>
      <c r="K254" s="18"/>
      <c r="L254" s="19">
        <f t="shared" si="6"/>
        <v>18262.560000000001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18262.560000000001</v>
      </c>
      <c r="K255" s="41">
        <f t="shared" si="7"/>
        <v>0</v>
      </c>
      <c r="L255" s="41">
        <f>SUM(F255:K255)</f>
        <v>18262.560000000001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5588798.1400000006</v>
      </c>
      <c r="G256" s="41">
        <f t="shared" si="8"/>
        <v>2147884.69</v>
      </c>
      <c r="H256" s="41">
        <f t="shared" si="8"/>
        <v>1061191.4600000002</v>
      </c>
      <c r="I256" s="41">
        <f t="shared" si="8"/>
        <v>273724.77</v>
      </c>
      <c r="J256" s="41">
        <f t="shared" si="8"/>
        <v>62405.880000000005</v>
      </c>
      <c r="K256" s="41">
        <f t="shared" si="8"/>
        <v>15345.53</v>
      </c>
      <c r="L256" s="41">
        <f t="shared" si="8"/>
        <v>9149350.4700000007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175000</v>
      </c>
      <c r="L265" s="19">
        <f t="shared" si="9"/>
        <v>175000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175000</v>
      </c>
      <c r="L269" s="41">
        <f t="shared" si="9"/>
        <v>175000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5588798.1400000006</v>
      </c>
      <c r="G270" s="42">
        <f t="shared" si="11"/>
        <v>2147884.69</v>
      </c>
      <c r="H270" s="42">
        <f t="shared" si="11"/>
        <v>1061191.4600000002</v>
      </c>
      <c r="I270" s="42">
        <f t="shared" si="11"/>
        <v>273724.77</v>
      </c>
      <c r="J270" s="42">
        <f t="shared" si="11"/>
        <v>62405.880000000005</v>
      </c>
      <c r="K270" s="42">
        <f t="shared" si="11"/>
        <v>190345.53</v>
      </c>
      <c r="L270" s="42">
        <f t="shared" si="11"/>
        <v>9324350.4700000007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224.99</v>
      </c>
      <c r="J275" s="18"/>
      <c r="K275" s="18"/>
      <c r="L275" s="19">
        <f>SUM(F275:K275)</f>
        <v>224.99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>
        <v>92980</v>
      </c>
      <c r="K285" s="18"/>
      <c r="L285" s="19">
        <f t="shared" si="12"/>
        <v>92980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224.99</v>
      </c>
      <c r="J289" s="42">
        <f t="shared" si="13"/>
        <v>92980</v>
      </c>
      <c r="K289" s="42">
        <f t="shared" si="13"/>
        <v>0</v>
      </c>
      <c r="L289" s="41">
        <f t="shared" si="13"/>
        <v>93204.99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224.99</v>
      </c>
      <c r="J337" s="41">
        <f t="shared" si="20"/>
        <v>92980</v>
      </c>
      <c r="K337" s="41">
        <f t="shared" si="20"/>
        <v>0</v>
      </c>
      <c r="L337" s="41">
        <f t="shared" si="20"/>
        <v>93204.99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 t="s">
        <v>287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224.99</v>
      </c>
      <c r="J351" s="41">
        <f>J337</f>
        <v>92980</v>
      </c>
      <c r="K351" s="47">
        <f>K337+K350</f>
        <v>0</v>
      </c>
      <c r="L351" s="41">
        <f>L337+L350</f>
        <v>93204.99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113915.09</v>
      </c>
      <c r="G357" s="18">
        <v>33776.39</v>
      </c>
      <c r="H357" s="18">
        <v>9936.59</v>
      </c>
      <c r="I357" s="18">
        <v>92492.05</v>
      </c>
      <c r="J357" s="18">
        <v>3391</v>
      </c>
      <c r="K357" s="18"/>
      <c r="L357" s="13">
        <f>SUM(F357:K357)</f>
        <v>253511.12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113915.09</v>
      </c>
      <c r="G361" s="47">
        <f t="shared" si="22"/>
        <v>33776.39</v>
      </c>
      <c r="H361" s="47">
        <f t="shared" si="22"/>
        <v>9936.59</v>
      </c>
      <c r="I361" s="47">
        <f t="shared" si="22"/>
        <v>92492.05</v>
      </c>
      <c r="J361" s="47">
        <f t="shared" si="22"/>
        <v>3391</v>
      </c>
      <c r="K361" s="47">
        <f t="shared" si="22"/>
        <v>0</v>
      </c>
      <c r="L361" s="47">
        <f t="shared" si="22"/>
        <v>253511.12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84529.29</v>
      </c>
      <c r="G366" s="18"/>
      <c r="H366" s="18"/>
      <c r="I366" s="56">
        <f>SUM(F366:H366)</f>
        <v>84529.29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7962.76</v>
      </c>
      <c r="G367" s="63"/>
      <c r="H367" s="63"/>
      <c r="I367" s="56">
        <f>SUM(F367:H367)</f>
        <v>7962.76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92492.049999999988</v>
      </c>
      <c r="G368" s="47">
        <f>SUM(G366:G367)</f>
        <v>0</v>
      </c>
      <c r="H368" s="47">
        <f>SUM(H366:H367)</f>
        <v>0</v>
      </c>
      <c r="I368" s="47">
        <f>SUM(I366:I367)</f>
        <v>92492.049999999988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175000</v>
      </c>
      <c r="H395" s="18">
        <v>151.94999999999999</v>
      </c>
      <c r="I395" s="18"/>
      <c r="J395" s="24" t="s">
        <v>289</v>
      </c>
      <c r="K395" s="24" t="s">
        <v>289</v>
      </c>
      <c r="L395" s="56">
        <f t="shared" si="26"/>
        <v>175151.95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88.75</v>
      </c>
      <c r="I396" s="18"/>
      <c r="J396" s="24" t="s">
        <v>289</v>
      </c>
      <c r="K396" s="24" t="s">
        <v>289</v>
      </c>
      <c r="L396" s="56">
        <f t="shared" si="26"/>
        <v>88.75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3.83</v>
      </c>
      <c r="I399" s="18"/>
      <c r="J399" s="24" t="s">
        <v>289</v>
      </c>
      <c r="K399" s="24" t="s">
        <v>289</v>
      </c>
      <c r="L399" s="56">
        <f t="shared" si="26"/>
        <v>3.83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175000</v>
      </c>
      <c r="H400" s="47">
        <f>SUM(H394:H399)</f>
        <v>244.53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175244.53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175000</v>
      </c>
      <c r="H407" s="47">
        <f>H392+H400+H406</f>
        <v>244.53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175244.53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>
        <v>136953</v>
      </c>
      <c r="K421" s="18"/>
      <c r="L421" s="56">
        <f t="shared" si="29"/>
        <v>136953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136953</v>
      </c>
      <c r="K426" s="47">
        <f t="shared" si="30"/>
        <v>0</v>
      </c>
      <c r="L426" s="47">
        <f t="shared" si="30"/>
        <v>136953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136953</v>
      </c>
      <c r="K433" s="47">
        <f t="shared" si="32"/>
        <v>0</v>
      </c>
      <c r="L433" s="47">
        <f t="shared" si="32"/>
        <v>136953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283434.43</v>
      </c>
      <c r="G438" s="18"/>
      <c r="H438" s="18"/>
      <c r="I438" s="56">
        <f t="shared" ref="I438:I444" si="33">SUM(F438:H438)</f>
        <v>283434.43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283434.43</v>
      </c>
      <c r="G445" s="13">
        <f>SUM(G438:G444)</f>
        <v>0</v>
      </c>
      <c r="H445" s="13">
        <f>SUM(H438:H444)</f>
        <v>0</v>
      </c>
      <c r="I445" s="13">
        <f>SUM(I438:I444)</f>
        <v>283434.43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283434.43</v>
      </c>
      <c r="G458" s="18"/>
      <c r="H458" s="18"/>
      <c r="I458" s="56">
        <f t="shared" si="34"/>
        <v>283434.43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283434.43</v>
      </c>
      <c r="G459" s="83">
        <f>SUM(G453:G458)</f>
        <v>0</v>
      </c>
      <c r="H459" s="83">
        <f>SUM(H453:H458)</f>
        <v>0</v>
      </c>
      <c r="I459" s="83">
        <f>SUM(I453:I458)</f>
        <v>283434.43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283434.43</v>
      </c>
      <c r="G460" s="42">
        <f>G451+G459</f>
        <v>0</v>
      </c>
      <c r="H460" s="42">
        <f>H451+H459</f>
        <v>0</v>
      </c>
      <c r="I460" s="42">
        <f>I451+I459</f>
        <v>283434.43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284564.51</v>
      </c>
      <c r="G464" s="18">
        <v>36487.61</v>
      </c>
      <c r="H464" s="18">
        <v>16359.83</v>
      </c>
      <c r="I464" s="18"/>
      <c r="J464" s="18">
        <v>245142.9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9344681.5</v>
      </c>
      <c r="G467" s="18">
        <v>223753.37</v>
      </c>
      <c r="H467" s="18">
        <v>94122.1</v>
      </c>
      <c r="I467" s="18"/>
      <c r="J467" s="18">
        <v>175244.53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9344681.5</v>
      </c>
      <c r="G469" s="53">
        <f>SUM(G467:G468)</f>
        <v>223753.37</v>
      </c>
      <c r="H469" s="53">
        <f>SUM(H467:H468)</f>
        <v>94122.1</v>
      </c>
      <c r="I469" s="53">
        <f>SUM(I467:I468)</f>
        <v>0</v>
      </c>
      <c r="J469" s="53">
        <f>SUM(J467:J468)</f>
        <v>175244.53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9324350.4700000007</v>
      </c>
      <c r="G471" s="18">
        <v>253511.12</v>
      </c>
      <c r="H471" s="18">
        <v>93204.99</v>
      </c>
      <c r="I471" s="18"/>
      <c r="J471" s="18">
        <v>136953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9324350.4700000007</v>
      </c>
      <c r="G473" s="53">
        <f>SUM(G471:G472)</f>
        <v>253511.12</v>
      </c>
      <c r="H473" s="53">
        <f>SUM(H471:H472)</f>
        <v>93204.99</v>
      </c>
      <c r="I473" s="53">
        <f>SUM(I471:I472)</f>
        <v>0</v>
      </c>
      <c r="J473" s="53">
        <f>SUM(J471:J472)</f>
        <v>136953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304895.53999999911</v>
      </c>
      <c r="G475" s="53">
        <f>(G464+G469)- G473</f>
        <v>6729.859999999986</v>
      </c>
      <c r="H475" s="53">
        <f>(H464+H469)- H473</f>
        <v>17276.940000000002</v>
      </c>
      <c r="I475" s="53">
        <f>(I464+I469)- I473</f>
        <v>0</v>
      </c>
      <c r="J475" s="53">
        <f>(J464+J469)- J473</f>
        <v>283434.43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1029472.19</v>
      </c>
      <c r="G520" s="18">
        <v>299513.68</v>
      </c>
      <c r="H520" s="18">
        <v>151574.20000000001</v>
      </c>
      <c r="I520" s="18">
        <v>10035.69</v>
      </c>
      <c r="J520" s="18">
        <v>7566.17</v>
      </c>
      <c r="K520" s="18"/>
      <c r="L520" s="88">
        <f>SUM(F520:K520)</f>
        <v>1498161.9299999997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1029472.19</v>
      </c>
      <c r="G523" s="108">
        <f t="shared" ref="G523:L523" si="36">SUM(G520:G522)</f>
        <v>299513.68</v>
      </c>
      <c r="H523" s="108">
        <f t="shared" si="36"/>
        <v>151574.20000000001</v>
      </c>
      <c r="I523" s="108">
        <f t="shared" si="36"/>
        <v>10035.69</v>
      </c>
      <c r="J523" s="108">
        <f t="shared" si="36"/>
        <v>7566.17</v>
      </c>
      <c r="K523" s="108">
        <f t="shared" si="36"/>
        <v>0</v>
      </c>
      <c r="L523" s="89">
        <f t="shared" si="36"/>
        <v>1498161.9299999997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604986.55000000005</v>
      </c>
      <c r="G525" s="18">
        <v>157296.5</v>
      </c>
      <c r="H525" s="18">
        <v>20328.04</v>
      </c>
      <c r="I525" s="18">
        <v>2363.64</v>
      </c>
      <c r="J525" s="18"/>
      <c r="K525" s="18"/>
      <c r="L525" s="88">
        <f>SUM(F525:K525)</f>
        <v>784974.7300000001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604986.55000000005</v>
      </c>
      <c r="G528" s="89">
        <f t="shared" ref="G528:L528" si="37">SUM(G525:G527)</f>
        <v>157296.5</v>
      </c>
      <c r="H528" s="89">
        <f t="shared" si="37"/>
        <v>20328.04</v>
      </c>
      <c r="I528" s="89">
        <f t="shared" si="37"/>
        <v>2363.64</v>
      </c>
      <c r="J528" s="89">
        <f t="shared" si="37"/>
        <v>0</v>
      </c>
      <c r="K528" s="89">
        <f t="shared" si="37"/>
        <v>0</v>
      </c>
      <c r="L528" s="89">
        <f t="shared" si="37"/>
        <v>784974.7300000001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84141.5</v>
      </c>
      <c r="G530" s="18">
        <v>23559.62</v>
      </c>
      <c r="H530" s="18">
        <v>9148.1</v>
      </c>
      <c r="I530" s="18">
        <v>1139.05</v>
      </c>
      <c r="J530" s="18">
        <v>343.08</v>
      </c>
      <c r="K530" s="18">
        <v>3126.93</v>
      </c>
      <c r="L530" s="88">
        <f>SUM(F530:K530)</f>
        <v>121458.28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84141.5</v>
      </c>
      <c r="G533" s="89">
        <f t="shared" ref="G533:L533" si="38">SUM(G530:G532)</f>
        <v>23559.62</v>
      </c>
      <c r="H533" s="89">
        <f t="shared" si="38"/>
        <v>9148.1</v>
      </c>
      <c r="I533" s="89">
        <f t="shared" si="38"/>
        <v>1139.05</v>
      </c>
      <c r="J533" s="89">
        <f t="shared" si="38"/>
        <v>343.08</v>
      </c>
      <c r="K533" s="89">
        <f t="shared" si="38"/>
        <v>3126.93</v>
      </c>
      <c r="L533" s="89">
        <f t="shared" si="38"/>
        <v>121458.28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 t="s">
        <v>287</v>
      </c>
      <c r="G535" s="18"/>
      <c r="H535" s="18">
        <v>9843.84</v>
      </c>
      <c r="I535" s="18"/>
      <c r="J535" s="18"/>
      <c r="K535" s="18"/>
      <c r="L535" s="88">
        <f>SUM(F535:K535)</f>
        <v>9843.84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9843.84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9843.84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72124</v>
      </c>
      <c r="I540" s="18"/>
      <c r="J540" s="18"/>
      <c r="K540" s="18"/>
      <c r="L540" s="88">
        <f>SUM(F540:K540)</f>
        <v>72124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72124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72124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1718600.24</v>
      </c>
      <c r="G544" s="89">
        <f t="shared" ref="G544:L544" si="41">G523+G528+G533+G538+G543</f>
        <v>480369.8</v>
      </c>
      <c r="H544" s="89">
        <f t="shared" si="41"/>
        <v>263018.18000000005</v>
      </c>
      <c r="I544" s="89">
        <f t="shared" si="41"/>
        <v>13538.38</v>
      </c>
      <c r="J544" s="89">
        <f t="shared" si="41"/>
        <v>7909.25</v>
      </c>
      <c r="K544" s="89">
        <f t="shared" si="41"/>
        <v>3126.93</v>
      </c>
      <c r="L544" s="89">
        <f t="shared" si="41"/>
        <v>2486562.7799999993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1498161.9299999997</v>
      </c>
      <c r="G548" s="87">
        <f>L525</f>
        <v>784974.7300000001</v>
      </c>
      <c r="H548" s="87">
        <f>L530</f>
        <v>121458.28</v>
      </c>
      <c r="I548" s="87">
        <f>L535</f>
        <v>9843.84</v>
      </c>
      <c r="J548" s="87">
        <f>L540</f>
        <v>72124</v>
      </c>
      <c r="K548" s="87">
        <f>SUM(F548:J548)</f>
        <v>2486562.7799999993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1498161.9299999997</v>
      </c>
      <c r="G551" s="89">
        <f t="shared" si="42"/>
        <v>784974.7300000001</v>
      </c>
      <c r="H551" s="89">
        <f t="shared" si="42"/>
        <v>121458.28</v>
      </c>
      <c r="I551" s="89">
        <f t="shared" si="42"/>
        <v>9843.84</v>
      </c>
      <c r="J551" s="89">
        <f t="shared" si="42"/>
        <v>72124</v>
      </c>
      <c r="K551" s="89">
        <f t="shared" si="42"/>
        <v>2486562.7799999993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96660</v>
      </c>
      <c r="G579" s="18"/>
      <c r="H579" s="18"/>
      <c r="I579" s="87">
        <f t="shared" si="47"/>
        <v>96660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32232.720000000001</v>
      </c>
      <c r="G581" s="18"/>
      <c r="H581" s="18"/>
      <c r="I581" s="87">
        <f t="shared" si="47"/>
        <v>32232.720000000001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301311</v>
      </c>
      <c r="I590" s="18"/>
      <c r="J590" s="18"/>
      <c r="K590" s="104">
        <f t="shared" ref="K590:K596" si="48">SUM(H590:J590)</f>
        <v>301311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72124</v>
      </c>
      <c r="I591" s="18"/>
      <c r="J591" s="18"/>
      <c r="K591" s="104">
        <f t="shared" si="48"/>
        <v>72124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11953.55</v>
      </c>
      <c r="I594" s="18"/>
      <c r="J594" s="18"/>
      <c r="K594" s="104">
        <f t="shared" si="48"/>
        <v>11953.55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385388.55</v>
      </c>
      <c r="I597" s="108">
        <f>SUM(I590:I596)</f>
        <v>0</v>
      </c>
      <c r="J597" s="108">
        <f>SUM(J590:J596)</f>
        <v>0</v>
      </c>
      <c r="K597" s="108">
        <f>SUM(K590:K596)</f>
        <v>385388.55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137123.32</v>
      </c>
      <c r="I603" s="18"/>
      <c r="J603" s="18"/>
      <c r="K603" s="104">
        <f>SUM(H603:J603)</f>
        <v>137123.32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137123.32</v>
      </c>
      <c r="I604" s="108">
        <f>SUM(I601:I603)</f>
        <v>0</v>
      </c>
      <c r="J604" s="108">
        <f>SUM(J601:J603)</f>
        <v>0</v>
      </c>
      <c r="K604" s="108">
        <f>SUM(K601:K603)</f>
        <v>137123.32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10983</v>
      </c>
      <c r="I610" s="18"/>
      <c r="J610" s="18"/>
      <c r="K610" s="18"/>
      <c r="L610" s="88">
        <f>SUM(F610:K610)</f>
        <v>10983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10983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10983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766955.67999999993</v>
      </c>
      <c r="H616" s="109">
        <f>SUM(F51)</f>
        <v>766955.67999999993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13437.73</v>
      </c>
      <c r="H617" s="109">
        <f>SUM(G51)</f>
        <v>13437.73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92980</v>
      </c>
      <c r="H618" s="109">
        <f>SUM(H51)</f>
        <v>92980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283434.43</v>
      </c>
      <c r="H620" s="109">
        <f>SUM(J51)</f>
        <v>283434.43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304895.53999999998</v>
      </c>
      <c r="H621" s="109">
        <f>F475</f>
        <v>304895.53999999911</v>
      </c>
      <c r="I621" s="121" t="s">
        <v>101</v>
      </c>
      <c r="J621" s="109">
        <f t="shared" ref="J621:J654" si="50">G621-H621</f>
        <v>8.7311491370201111E-10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6729.86</v>
      </c>
      <c r="H622" s="109">
        <f>G475</f>
        <v>6729.859999999986</v>
      </c>
      <c r="I622" s="121" t="s">
        <v>102</v>
      </c>
      <c r="J622" s="109">
        <f t="shared" si="50"/>
        <v>1.3642420526593924E-11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17276.939999999999</v>
      </c>
      <c r="H623" s="109">
        <f>H475</f>
        <v>17276.940000000002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283434.43</v>
      </c>
      <c r="H625" s="109">
        <f>J475</f>
        <v>283434.43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9344681.5</v>
      </c>
      <c r="H626" s="104">
        <f>SUM(F467)</f>
        <v>9344681.5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223753.37</v>
      </c>
      <c r="H627" s="104">
        <f>SUM(G467)</f>
        <v>223753.37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94122.1</v>
      </c>
      <c r="H628" s="104">
        <f>SUM(H467)</f>
        <v>94122.1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175244.53</v>
      </c>
      <c r="H630" s="104">
        <f>SUM(J467)</f>
        <v>175244.53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9324350.4700000007</v>
      </c>
      <c r="H631" s="104">
        <f>SUM(F471)</f>
        <v>9324350.4700000007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93204.99</v>
      </c>
      <c r="H632" s="104">
        <f>SUM(H471)</f>
        <v>93204.99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92492.05</v>
      </c>
      <c r="H633" s="104">
        <f>I368</f>
        <v>92492.049999999988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253511.12</v>
      </c>
      <c r="H634" s="104">
        <f>SUM(G471)</f>
        <v>253511.12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175244.53</v>
      </c>
      <c r="H636" s="164">
        <f>SUM(J467)</f>
        <v>175244.53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136953</v>
      </c>
      <c r="H637" s="164">
        <f>SUM(J471)</f>
        <v>136953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283434.43</v>
      </c>
      <c r="H638" s="104">
        <f>SUM(F460)</f>
        <v>283434.43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283434.43</v>
      </c>
      <c r="H641" s="104">
        <f>SUM(I460)</f>
        <v>283434.43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244.53</v>
      </c>
      <c r="H643" s="104">
        <f>H407</f>
        <v>244.53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175000</v>
      </c>
      <c r="H644" s="104">
        <f>G407</f>
        <v>175000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175244.53</v>
      </c>
      <c r="H645" s="104">
        <f>L407</f>
        <v>175244.53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385388.55</v>
      </c>
      <c r="H646" s="104">
        <f>L207+L225+L243</f>
        <v>385388.55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137123.32</v>
      </c>
      <c r="H647" s="104">
        <f>(J256+J337)-(J254+J335)</f>
        <v>137123.32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385388.55</v>
      </c>
      <c r="H648" s="104">
        <f>H597</f>
        <v>385388.55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175000</v>
      </c>
      <c r="H654" s="104">
        <f>K265+K346</f>
        <v>175000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9477804.0199999996</v>
      </c>
      <c r="G659" s="19">
        <f>(L228+L308+L358)</f>
        <v>0</v>
      </c>
      <c r="H659" s="19">
        <f>(L246+L327+L359)</f>
        <v>0</v>
      </c>
      <c r="I659" s="19">
        <f>SUM(F659:H659)</f>
        <v>9477804.0199999996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105507.89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105507.89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385388.55</v>
      </c>
      <c r="G661" s="19">
        <f>(L225+L305)-(J225+J305)</f>
        <v>0</v>
      </c>
      <c r="H661" s="19">
        <f>(L243+L324)-(J243+J324)</f>
        <v>0</v>
      </c>
      <c r="I661" s="19">
        <f>SUM(F661:H661)</f>
        <v>385388.55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276999.04000000004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276999.04000000004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8709908.5399999991</v>
      </c>
      <c r="G663" s="19">
        <f>G659-SUM(G660:G662)</f>
        <v>0</v>
      </c>
      <c r="H663" s="19">
        <f>H659-SUM(H660:H662)</f>
        <v>0</v>
      </c>
      <c r="I663" s="19">
        <f>I659-SUM(I660:I662)</f>
        <v>8709908.5399999991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616.41999999999996</v>
      </c>
      <c r="G664" s="248"/>
      <c r="H664" s="248"/>
      <c r="I664" s="19">
        <f>SUM(F664:H664)</f>
        <v>616.41999999999996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14129.83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14129.83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14129.83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14129.83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200" zoomScaleNormal="200" workbookViewId="0">
      <selection activeCell="B15" sqref="B15:C1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3250275.98</v>
      </c>
      <c r="C9" s="229">
        <f>'DOE25'!G196+'DOE25'!G214+'DOE25'!G232+'DOE25'!G275+'DOE25'!G294+'DOE25'!G313</f>
        <v>790108.95</v>
      </c>
    </row>
    <row r="10" spans="1:3" x14ac:dyDescent="0.2">
      <c r="A10" t="s">
        <v>779</v>
      </c>
      <c r="B10" s="240">
        <v>2737538.48</v>
      </c>
      <c r="C10" s="240">
        <v>700753.96</v>
      </c>
    </row>
    <row r="11" spans="1:3" x14ac:dyDescent="0.2">
      <c r="A11" t="s">
        <v>780</v>
      </c>
      <c r="B11" s="240">
        <v>412283.03</v>
      </c>
      <c r="C11" s="240">
        <v>77702.27</v>
      </c>
    </row>
    <row r="12" spans="1:3" x14ac:dyDescent="0.2">
      <c r="A12" t="s">
        <v>781</v>
      </c>
      <c r="B12" s="240">
        <v>100454.47</v>
      </c>
      <c r="C12" s="240">
        <v>11652.72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3250275.98</v>
      </c>
      <c r="C13" s="231">
        <f>SUM(C10:C12)</f>
        <v>790108.95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1029472.19</v>
      </c>
      <c r="C18" s="229">
        <f>'DOE25'!G197+'DOE25'!G215+'DOE25'!G233+'DOE25'!G276+'DOE25'!G295+'DOE25'!G314</f>
        <v>299513.68</v>
      </c>
    </row>
    <row r="19" spans="1:3" x14ac:dyDescent="0.2">
      <c r="A19" t="s">
        <v>779</v>
      </c>
      <c r="B19" s="240">
        <v>584140.81000000006</v>
      </c>
      <c r="C19" s="240">
        <v>181083.65</v>
      </c>
    </row>
    <row r="20" spans="1:3" x14ac:dyDescent="0.2">
      <c r="A20" t="s">
        <v>780</v>
      </c>
      <c r="B20" s="240">
        <v>398041.69</v>
      </c>
      <c r="C20" s="240">
        <v>106134.71</v>
      </c>
    </row>
    <row r="21" spans="1:3" x14ac:dyDescent="0.2">
      <c r="A21" t="s">
        <v>781</v>
      </c>
      <c r="B21" s="240">
        <v>47289.69</v>
      </c>
      <c r="C21" s="240">
        <v>12295.32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1029472.19</v>
      </c>
      <c r="C22" s="231">
        <f>SUM(C19:C21)</f>
        <v>299513.68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6" activePane="bottomLeft" state="frozen"/>
      <selection pane="bottomLeft" activeCell="D42" sqref="D4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Stratham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5643512.9799999995</v>
      </c>
      <c r="D5" s="20">
        <f>SUM('DOE25'!L196:L199)+SUM('DOE25'!L214:L217)+SUM('DOE25'!L232:L235)-F5-G5</f>
        <v>5629250.7799999993</v>
      </c>
      <c r="E5" s="243"/>
      <c r="F5" s="255">
        <f>SUM('DOE25'!J196:J199)+SUM('DOE25'!J214:J217)+SUM('DOE25'!J232:J235)</f>
        <v>14262.2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1038155.31</v>
      </c>
      <c r="D6" s="20">
        <f>'DOE25'!L201+'DOE25'!L219+'DOE25'!L237-F6-G6</f>
        <v>1038155.31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533748.29999999993</v>
      </c>
      <c r="D7" s="20">
        <f>'DOE25'!L202+'DOE25'!L220+'DOE25'!L238-F7-G7</f>
        <v>505740.18999999994</v>
      </c>
      <c r="E7" s="243"/>
      <c r="F7" s="255">
        <f>'DOE25'!J202+'DOE25'!J220+'DOE25'!J238</f>
        <v>28008.11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231359.25</v>
      </c>
      <c r="D8" s="243"/>
      <c r="E8" s="20">
        <f>'DOE25'!L203+'DOE25'!L221+'DOE25'!L239-F8-G8-D9-D11</f>
        <v>227712.32</v>
      </c>
      <c r="F8" s="255">
        <f>'DOE25'!J203+'DOE25'!J221+'DOE25'!J239</f>
        <v>0</v>
      </c>
      <c r="G8" s="53">
        <f>'DOE25'!K203+'DOE25'!K221+'DOE25'!K239</f>
        <v>3646.93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7099.75</v>
      </c>
      <c r="D9" s="244">
        <v>7099.75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9750</v>
      </c>
      <c r="D10" s="243"/>
      <c r="E10" s="244">
        <v>9750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31616.31</v>
      </c>
      <c r="D11" s="244">
        <v>31616.31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662332.15</v>
      </c>
      <c r="D12" s="20">
        <f>'DOE25'!L204+'DOE25'!L222+'DOE25'!L240-F12-G12</f>
        <v>649408.27</v>
      </c>
      <c r="E12" s="243"/>
      <c r="F12" s="255">
        <f>'DOE25'!J204+'DOE25'!J222+'DOE25'!J240</f>
        <v>1225.28</v>
      </c>
      <c r="G12" s="53">
        <f>'DOE25'!K204+'DOE25'!K222+'DOE25'!K240</f>
        <v>11698.6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597875.31000000006</v>
      </c>
      <c r="D14" s="20">
        <f>'DOE25'!L206+'DOE25'!L224+'DOE25'!L242-F14-G14</f>
        <v>597227.58000000007</v>
      </c>
      <c r="E14" s="243"/>
      <c r="F14" s="255">
        <f>'DOE25'!J206+'DOE25'!J224+'DOE25'!J242</f>
        <v>647.73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385388.55</v>
      </c>
      <c r="D15" s="20">
        <f>'DOE25'!L207+'DOE25'!L225+'DOE25'!L243-F15-G15</f>
        <v>385388.55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18262.560000000001</v>
      </c>
      <c r="D22" s="243"/>
      <c r="E22" s="243"/>
      <c r="F22" s="255">
        <f>'DOE25'!L254+'DOE25'!L335</f>
        <v>18262.560000000001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168981.83000000002</v>
      </c>
      <c r="D29" s="20">
        <f>'DOE25'!L357+'DOE25'!L358+'DOE25'!L359-'DOE25'!I366-F29-G29</f>
        <v>165590.83000000002</v>
      </c>
      <c r="E29" s="243"/>
      <c r="F29" s="255">
        <f>'DOE25'!J357+'DOE25'!J358+'DOE25'!J359</f>
        <v>3391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93204.99</v>
      </c>
      <c r="D31" s="20">
        <f>'DOE25'!L289+'DOE25'!L308+'DOE25'!L327+'DOE25'!L332+'DOE25'!L333+'DOE25'!L334-F31-G31</f>
        <v>224.99000000000524</v>
      </c>
      <c r="E31" s="243"/>
      <c r="F31" s="255">
        <f>'DOE25'!J289+'DOE25'!J308+'DOE25'!J327+'DOE25'!J332+'DOE25'!J333+'DOE25'!J334</f>
        <v>92980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9009702.5600000005</v>
      </c>
      <c r="E33" s="246">
        <f>SUM(E5:E31)</f>
        <v>237462.32</v>
      </c>
      <c r="F33" s="246">
        <f>SUM(F5:F31)</f>
        <v>158776.88</v>
      </c>
      <c r="G33" s="246">
        <f>SUM(G5:G31)</f>
        <v>15345.53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237462.32</v>
      </c>
      <c r="E35" s="249"/>
    </row>
    <row r="36" spans="2:8" ht="12" thickTop="1" x14ac:dyDescent="0.2">
      <c r="B36" t="s">
        <v>815</v>
      </c>
      <c r="D36" s="20">
        <f>D33</f>
        <v>9009702.5600000005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1" sqref="A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-226570.64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283434.43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966537.24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26989.08</v>
      </c>
      <c r="D13" s="95">
        <f>'DOE25'!G14</f>
        <v>9661.7199999999993</v>
      </c>
      <c r="E13" s="95">
        <f>'DOE25'!H14</f>
        <v>92980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3776.01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766955.67999999993</v>
      </c>
      <c r="D18" s="41">
        <f>SUM(D8:D17)</f>
        <v>13437.73</v>
      </c>
      <c r="E18" s="41">
        <f>SUM(E8:E17)</f>
        <v>92980</v>
      </c>
      <c r="F18" s="41">
        <f>SUM(F8:F17)</f>
        <v>0</v>
      </c>
      <c r="G18" s="41">
        <f>SUM(G8:G17)</f>
        <v>283434.43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-82350.94</v>
      </c>
      <c r="D22" s="95">
        <f>'DOE25'!G23</f>
        <v>6707.87</v>
      </c>
      <c r="E22" s="95">
        <f>'DOE25'!H23</f>
        <v>75703.06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181755.89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 t="str">
        <f>'DOE25'!H25</f>
        <v xml:space="preserve"> 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362655.19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462060.14</v>
      </c>
      <c r="D31" s="41">
        <f>SUM(D21:D30)</f>
        <v>6707.87</v>
      </c>
      <c r="E31" s="41">
        <f>SUM(E21:E30)</f>
        <v>75703.06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283434.43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6729.86</v>
      </c>
      <c r="E47" s="95">
        <f>'DOE25'!H48</f>
        <v>17276.939999999999</v>
      </c>
      <c r="F47" s="95" t="str">
        <f>'DOE25'!I48</f>
        <v xml:space="preserve"> 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304895.53999999998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304895.53999999998</v>
      </c>
      <c r="D49" s="41">
        <f>SUM(D34:D48)</f>
        <v>6729.86</v>
      </c>
      <c r="E49" s="41">
        <f>SUM(E34:E48)</f>
        <v>17276.939999999999</v>
      </c>
      <c r="F49" s="41">
        <f>SUM(F34:F48)</f>
        <v>0</v>
      </c>
      <c r="G49" s="41">
        <f>SUM(G34:G48)</f>
        <v>283434.43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766955.67999999993</v>
      </c>
      <c r="D50" s="41">
        <f>D49+D31</f>
        <v>13437.73</v>
      </c>
      <c r="E50" s="41">
        <f>E49+E31</f>
        <v>92980</v>
      </c>
      <c r="F50" s="41">
        <f>F49+F31</f>
        <v>0</v>
      </c>
      <c r="G50" s="41">
        <f>G49+G31</f>
        <v>283434.43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7421980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4250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459.66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244.53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105507.89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89.35</v>
      </c>
      <c r="D60" s="95">
        <f>SUM('DOE25'!G97:G109)</f>
        <v>0</v>
      </c>
      <c r="E60" s="95">
        <f>SUM('DOE25'!H97:H109)</f>
        <v>1142.0999999999999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4799.01</v>
      </c>
      <c r="D61" s="130">
        <f>SUM(D56:D60)</f>
        <v>105507.89</v>
      </c>
      <c r="E61" s="130">
        <f>SUM(E56:E60)</f>
        <v>1142.0999999999999</v>
      </c>
      <c r="F61" s="130">
        <f>SUM(F56:F60)</f>
        <v>0</v>
      </c>
      <c r="G61" s="130">
        <f>SUM(G56:G60)</f>
        <v>244.53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7426779.0099999998</v>
      </c>
      <c r="D62" s="22">
        <f>D55+D61</f>
        <v>105507.89</v>
      </c>
      <c r="E62" s="22">
        <f>E55+E61</f>
        <v>1142.0999999999999</v>
      </c>
      <c r="F62" s="22">
        <f>F55+F61</f>
        <v>0</v>
      </c>
      <c r="G62" s="22">
        <f>G55+G61</f>
        <v>244.53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637837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1206057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1843894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17145.68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2548.3200000000002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17145.68</v>
      </c>
      <c r="D77" s="130">
        <f>SUM(D71:D76)</f>
        <v>2548.3200000000002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1861039.68</v>
      </c>
      <c r="D80" s="130">
        <f>SUM(D78:D79)+D77+D69</f>
        <v>2548.3200000000002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56862.81</v>
      </c>
      <c r="D87" s="95">
        <f>SUM('DOE25'!G152:G160)</f>
        <v>115697.16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56862.81</v>
      </c>
      <c r="D90" s="131">
        <f>SUM(D84:D89)</f>
        <v>115697.16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92980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92980</v>
      </c>
      <c r="F102" s="86">
        <f>SUM(F92:F101)</f>
        <v>0</v>
      </c>
      <c r="G102" s="86">
        <f>SUM(G92:G101)</f>
        <v>175000</v>
      </c>
    </row>
    <row r="103" spans="1:7" ht="12.75" thickTop="1" thickBot="1" x14ac:dyDescent="0.25">
      <c r="A103" s="33" t="s">
        <v>765</v>
      </c>
      <c r="C103" s="86">
        <f>C62+C80+C90+C102</f>
        <v>9344681.5</v>
      </c>
      <c r="D103" s="86">
        <f>D62+D80+D90+D102</f>
        <v>223753.37</v>
      </c>
      <c r="E103" s="86">
        <f>E62+E80+E90+E102</f>
        <v>94122.1</v>
      </c>
      <c r="F103" s="86">
        <f>F62+F80+F90+F102</f>
        <v>0</v>
      </c>
      <c r="G103" s="86">
        <f>G62+G80+G102</f>
        <v>175244.53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4143851.05</v>
      </c>
      <c r="D108" s="24" t="s">
        <v>289</v>
      </c>
      <c r="E108" s="95">
        <f>('DOE25'!L275)+('DOE25'!L294)+('DOE25'!L313)</f>
        <v>224.99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1498161.9299999997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1500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5643512.9799999995</v>
      </c>
      <c r="D114" s="86">
        <f>SUM(D108:D113)</f>
        <v>0</v>
      </c>
      <c r="E114" s="86">
        <f>SUM(E108:E113)</f>
        <v>224.99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1038155.31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533748.29999999993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270075.31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662332.15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597875.31000000006</v>
      </c>
      <c r="D122" s="24" t="s">
        <v>289</v>
      </c>
      <c r="E122" s="95">
        <f>+('DOE25'!L285)+('DOE25'!L304)+('DOE25'!L323)</f>
        <v>92980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385388.55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253511.12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3487574.9299999997</v>
      </c>
      <c r="D127" s="86">
        <f>SUM(D117:D126)</f>
        <v>253511.12</v>
      </c>
      <c r="E127" s="86">
        <f>SUM(E117:E126)</f>
        <v>92980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18262.560000000001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175244.53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-244.52999999999884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193262.56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9324350.4700000007</v>
      </c>
      <c r="D144" s="86">
        <f>(D114+D127+D143)</f>
        <v>253511.12</v>
      </c>
      <c r="E144" s="86">
        <f>(E114+E127+E143)</f>
        <v>93204.99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Stratham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14130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14130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4144076</v>
      </c>
      <c r="D10" s="182">
        <f>ROUND((C10/$C$28)*100,1)</f>
        <v>44.2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1498162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1500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1038155</v>
      </c>
      <c r="D15" s="182">
        <f t="shared" ref="D15:D27" si="0">ROUND((C15/$C$28)*100,1)</f>
        <v>11.1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533748</v>
      </c>
      <c r="D16" s="182">
        <f t="shared" si="0"/>
        <v>5.7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270075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662332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690855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385389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148003.10999999999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9372295.1099999994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18263</v>
      </c>
    </row>
    <row r="30" spans="1:4" x14ac:dyDescent="0.2">
      <c r="B30" s="187" t="s">
        <v>729</v>
      </c>
      <c r="C30" s="180">
        <f>SUM(C28:C29)</f>
        <v>9390558.1099999994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7421980</v>
      </c>
      <c r="D35" s="182">
        <f t="shared" ref="D35:D40" si="1">ROUND((C35/$C$41)*100,1)</f>
        <v>78.400000000000006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6185.6399999996647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1843894</v>
      </c>
      <c r="D37" s="182">
        <f t="shared" si="1"/>
        <v>19.5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19694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172560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9464313.6400000006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Stratham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BP40:BZ40"/>
    <mergeCell ref="P40:Z40"/>
    <mergeCell ref="AC40:AM40"/>
    <mergeCell ref="IP40:IV40"/>
    <mergeCell ref="C45:M45"/>
    <mergeCell ref="HP40:HZ40"/>
    <mergeCell ref="IC40:IM40"/>
    <mergeCell ref="FC40:FM40"/>
    <mergeCell ref="FP40:FZ40"/>
    <mergeCell ref="DC40:DM40"/>
    <mergeCell ref="EP40:EZ40"/>
    <mergeCell ref="GC39:GM39"/>
    <mergeCell ref="CC40:CM40"/>
    <mergeCell ref="CP40:CZ40"/>
    <mergeCell ref="IP39:IV39"/>
    <mergeCell ref="EP39:EZ39"/>
    <mergeCell ref="FC39:FM39"/>
    <mergeCell ref="FP39:FZ39"/>
    <mergeCell ref="GP39:GZ39"/>
    <mergeCell ref="IC39:IM39"/>
    <mergeCell ref="IC32:IM32"/>
    <mergeCell ref="IP32:IV32"/>
    <mergeCell ref="EP38:EZ38"/>
    <mergeCell ref="FC38:FM38"/>
    <mergeCell ref="FP38:FZ38"/>
    <mergeCell ref="GC38:GM38"/>
    <mergeCell ref="GP38:GZ38"/>
    <mergeCell ref="P39:Z39"/>
    <mergeCell ref="AC39:AM39"/>
    <mergeCell ref="AP39:AZ39"/>
    <mergeCell ref="HP39:HZ39"/>
    <mergeCell ref="IC38:IM38"/>
    <mergeCell ref="IP38:IV38"/>
    <mergeCell ref="CP38:CZ38"/>
    <mergeCell ref="BC38:BM38"/>
    <mergeCell ref="P38:Z38"/>
    <mergeCell ref="AC38:AM38"/>
    <mergeCell ref="BP39:BZ39"/>
    <mergeCell ref="CC39:CM39"/>
    <mergeCell ref="CP39:CZ39"/>
    <mergeCell ref="HC39:HM39"/>
    <mergeCell ref="DC39:DM39"/>
    <mergeCell ref="DP39:DZ39"/>
    <mergeCell ref="EC39:EM39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AP38:AZ38"/>
    <mergeCell ref="HP38:HZ38"/>
    <mergeCell ref="HP32:HZ32"/>
    <mergeCell ref="EC30:EM30"/>
    <mergeCell ref="EP30:EZ30"/>
    <mergeCell ref="DP32:DZ32"/>
    <mergeCell ref="EC32:EM32"/>
    <mergeCell ref="EP32:EZ32"/>
    <mergeCell ref="BP32:BZ32"/>
    <mergeCell ref="DC38:DM38"/>
    <mergeCell ref="HC38:HM38"/>
    <mergeCell ref="HC32:HM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FC32:FM32"/>
    <mergeCell ref="GC30:GM30"/>
    <mergeCell ref="HC31:HM31"/>
    <mergeCell ref="BP38:BZ38"/>
    <mergeCell ref="CC38:CM38"/>
    <mergeCell ref="IP29:IV29"/>
    <mergeCell ref="C42:M42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GP30:GZ30"/>
    <mergeCell ref="FP29:FZ29"/>
    <mergeCell ref="GC29:GM29"/>
    <mergeCell ref="GP29:GZ29"/>
    <mergeCell ref="HP29:HZ29"/>
    <mergeCell ref="IC29:IM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8:M8"/>
    <mergeCell ref="C13:M13"/>
    <mergeCell ref="C9:M9"/>
    <mergeCell ref="C10:M10"/>
    <mergeCell ref="C11:M11"/>
    <mergeCell ref="C12:M12"/>
    <mergeCell ref="CP29:CZ29"/>
    <mergeCell ref="C18:M18"/>
    <mergeCell ref="C19:M19"/>
    <mergeCell ref="C20:M20"/>
    <mergeCell ref="DC29:DM29"/>
    <mergeCell ref="AP29:AZ29"/>
    <mergeCell ref="C14:M14"/>
    <mergeCell ref="C15:M15"/>
    <mergeCell ref="C16:M16"/>
    <mergeCell ref="C17:M17"/>
    <mergeCell ref="C27:M27"/>
    <mergeCell ref="BP29:BZ29"/>
    <mergeCell ref="CC29:CM29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2:M32"/>
    <mergeCell ref="P31:Z31"/>
    <mergeCell ref="AC31:AM31"/>
    <mergeCell ref="AP31:AZ31"/>
    <mergeCell ref="P32:Z32"/>
    <mergeCell ref="AC32:AM32"/>
    <mergeCell ref="AP32:AZ32"/>
    <mergeCell ref="C82:M82"/>
    <mergeCell ref="C52:M52"/>
    <mergeCell ref="C50:M50"/>
    <mergeCell ref="C63:M63"/>
    <mergeCell ref="C64:M64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73:M73"/>
    <mergeCell ref="C74:M74"/>
    <mergeCell ref="C49:M49"/>
    <mergeCell ref="C51:M51"/>
    <mergeCell ref="C81:M81"/>
    <mergeCell ref="C75:M75"/>
    <mergeCell ref="C67:M67"/>
    <mergeCell ref="C68:M68"/>
    <mergeCell ref="C69:M69"/>
    <mergeCell ref="C89:M89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83:M83"/>
    <mergeCell ref="C84:M84"/>
    <mergeCell ref="C85:M85"/>
    <mergeCell ref="C86:M86"/>
    <mergeCell ref="C87:M87"/>
    <mergeCell ref="C88:M88"/>
    <mergeCell ref="C57:M57"/>
    <mergeCell ref="C59:M59"/>
    <mergeCell ref="C77:M77"/>
    <mergeCell ref="C78:M78"/>
    <mergeCell ref="C79:M79"/>
    <mergeCell ref="C80:M80"/>
    <mergeCell ref="C70:M70"/>
    <mergeCell ref="A72:E7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2013-08-28T19:17:08Z</cp:lastPrinted>
  <dcterms:created xsi:type="dcterms:W3CDTF">1997-12-04T19:04:30Z</dcterms:created>
  <dcterms:modified xsi:type="dcterms:W3CDTF">2013-08-28T19:17:17Z</dcterms:modified>
</cp:coreProperties>
</file>