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0" yWindow="0" windowWidth="15570" windowHeight="940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="1" iterateCount="1"/>
</workbook>
</file>

<file path=xl/calcChain.xml><?xml version="1.0" encoding="utf-8"?>
<calcChain xmlns="http://schemas.openxmlformats.org/spreadsheetml/2006/main">
  <c r="H215" i="1" l="1"/>
  <c r="H197" i="1"/>
  <c r="H590" i="1"/>
  <c r="H467" i="1" l="1"/>
  <c r="J95" i="1"/>
  <c r="J101" i="1"/>
  <c r="J467" i="1"/>
  <c r="I471" i="1"/>
  <c r="C10" i="12" l="1"/>
  <c r="J220" i="1"/>
  <c r="J238" i="1"/>
  <c r="H224" i="1"/>
  <c r="I204" i="1"/>
  <c r="H203" i="1"/>
  <c r="H239" i="1"/>
  <c r="I238" i="1"/>
  <c r="H220" i="1"/>
  <c r="I196" i="1"/>
  <c r="G232" i="1"/>
  <c r="J464" i="1"/>
  <c r="H242" i="1"/>
  <c r="I590" i="1" l="1"/>
  <c r="J590" i="1"/>
  <c r="I527" i="1" l="1"/>
  <c r="I526" i="1"/>
  <c r="I525" i="1"/>
  <c r="H527" i="1"/>
  <c r="H526" i="1"/>
  <c r="H525" i="1"/>
  <c r="F527" i="1"/>
  <c r="F526" i="1"/>
  <c r="F525" i="1"/>
  <c r="G464" i="1"/>
  <c r="K520" i="1"/>
  <c r="J522" i="1"/>
  <c r="J521" i="1"/>
  <c r="J520" i="1"/>
  <c r="I522" i="1"/>
  <c r="I521" i="1"/>
  <c r="I520" i="1"/>
  <c r="H522" i="1"/>
  <c r="H521" i="1"/>
  <c r="H520" i="1"/>
  <c r="F522" i="1"/>
  <c r="F521" i="1"/>
  <c r="F520" i="1"/>
  <c r="G238" i="1" l="1"/>
  <c r="G221" i="1"/>
  <c r="G220" i="1"/>
  <c r="G203" i="1"/>
  <c r="G202" i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G648" i="1" s="1"/>
  <c r="L225" i="1"/>
  <c r="G649" i="1" s="1"/>
  <c r="L243" i="1"/>
  <c r="G650" i="1" s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C130" i="2" s="1"/>
  <c r="L260" i="1"/>
  <c r="L340" i="1"/>
  <c r="E130" i="2" s="1"/>
  <c r="L341" i="1"/>
  <c r="L254" i="1"/>
  <c r="C129" i="2" s="1"/>
  <c r="L335" i="1"/>
  <c r="E129" i="2" s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L611" i="1"/>
  <c r="L610" i="1"/>
  <c r="C40" i="10"/>
  <c r="F59" i="1"/>
  <c r="C55" i="2" s="1"/>
  <c r="G59" i="1"/>
  <c r="D55" i="2" s="1"/>
  <c r="H59" i="1"/>
  <c r="E55" i="2" s="1"/>
  <c r="I59" i="1"/>
  <c r="F55" i="2" s="1"/>
  <c r="F78" i="1"/>
  <c r="C56" i="2" s="1"/>
  <c r="F93" i="1"/>
  <c r="F110" i="1"/>
  <c r="G110" i="1"/>
  <c r="H78" i="1"/>
  <c r="E56" i="2" s="1"/>
  <c r="H93" i="1"/>
  <c r="E57" i="2" s="1"/>
  <c r="H110" i="1"/>
  <c r="I110" i="1"/>
  <c r="I111" i="1" s="1"/>
  <c r="J110" i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D84" i="2" s="1"/>
  <c r="G161" i="1"/>
  <c r="H146" i="1"/>
  <c r="E84" i="2" s="1"/>
  <c r="H161" i="1"/>
  <c r="I146" i="1"/>
  <c r="I161" i="1"/>
  <c r="L249" i="1"/>
  <c r="C112" i="2" s="1"/>
  <c r="L331" i="1"/>
  <c r="L253" i="1"/>
  <c r="L267" i="1"/>
  <c r="C141" i="2" s="1"/>
  <c r="L268" i="1"/>
  <c r="C142" i="2" s="1"/>
  <c r="L348" i="1"/>
  <c r="E141" i="2" s="1"/>
  <c r="L349" i="1"/>
  <c r="E142" i="2" s="1"/>
  <c r="I664" i="1"/>
  <c r="I669" i="1"/>
  <c r="I668" i="1"/>
  <c r="C42" i="10"/>
  <c r="L373" i="1"/>
  <c r="L374" i="1"/>
  <c r="L375" i="1"/>
  <c r="L376" i="1"/>
  <c r="L377" i="1"/>
  <c r="L378" i="1"/>
  <c r="L379" i="1"/>
  <c r="B2" i="10"/>
  <c r="L343" i="1"/>
  <c r="E133" i="2" s="1"/>
  <c r="L344" i="1"/>
  <c r="E134" i="2" s="1"/>
  <c r="L345" i="1"/>
  <c r="E136" i="2" s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K269" i="1"/>
  <c r="J269" i="1"/>
  <c r="I269" i="1"/>
  <c r="H269" i="1"/>
  <c r="G269" i="1"/>
  <c r="F269" i="1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G22" i="2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G36" i="2" s="1"/>
  <c r="I458" i="1"/>
  <c r="J47" i="1" s="1"/>
  <c r="G46" i="2" s="1"/>
  <c r="C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D114" i="2"/>
  <c r="F114" i="2"/>
  <c r="G114" i="2"/>
  <c r="F127" i="2"/>
  <c r="G127" i="2"/>
  <c r="D133" i="2"/>
  <c r="D143" i="2" s="1"/>
  <c r="F133" i="2"/>
  <c r="K418" i="1"/>
  <c r="K426" i="1"/>
  <c r="K432" i="1"/>
  <c r="L262" i="1"/>
  <c r="C134" i="2" s="1"/>
  <c r="L263" i="1"/>
  <c r="C135" i="2" s="1"/>
  <c r="L264" i="1"/>
  <c r="C136" i="2" s="1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G617" i="1" s="1"/>
  <c r="H19" i="1"/>
  <c r="G618" i="1" s="1"/>
  <c r="I19" i="1"/>
  <c r="G619" i="1" s="1"/>
  <c r="F32" i="1"/>
  <c r="G32" i="1"/>
  <c r="H32" i="1"/>
  <c r="I32" i="1"/>
  <c r="G50" i="1"/>
  <c r="G622" i="1" s="1"/>
  <c r="H50" i="1"/>
  <c r="G623" i="1" s="1"/>
  <c r="I50" i="1"/>
  <c r="G624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I603" i="1" s="1"/>
  <c r="I604" i="1" s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H361" i="1"/>
  <c r="I361" i="1"/>
  <c r="G633" i="1" s="1"/>
  <c r="J361" i="1"/>
  <c r="K361" i="1"/>
  <c r="I367" i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638" i="1" s="1"/>
  <c r="G445" i="1"/>
  <c r="G639" i="1" s="1"/>
  <c r="H445" i="1"/>
  <c r="G640" i="1" s="1"/>
  <c r="F451" i="1"/>
  <c r="G451" i="1"/>
  <c r="H451" i="1"/>
  <c r="F459" i="1"/>
  <c r="G459" i="1"/>
  <c r="H459" i="1"/>
  <c r="J469" i="1"/>
  <c r="I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F613" i="1"/>
  <c r="G613" i="1"/>
  <c r="H613" i="1"/>
  <c r="I613" i="1"/>
  <c r="J613" i="1"/>
  <c r="K613" i="1"/>
  <c r="H630" i="1"/>
  <c r="H635" i="1"/>
  <c r="H636" i="1"/>
  <c r="G642" i="1"/>
  <c r="G643" i="1"/>
  <c r="G651" i="1"/>
  <c r="H651" i="1"/>
  <c r="G652" i="1"/>
  <c r="H652" i="1"/>
  <c r="G653" i="1"/>
  <c r="H653" i="1"/>
  <c r="H654" i="1"/>
  <c r="G616" i="1" l="1"/>
  <c r="F49" i="1"/>
  <c r="F662" i="1"/>
  <c r="J654" i="1"/>
  <c r="H603" i="1"/>
  <c r="H604" i="1" s="1"/>
  <c r="G662" i="1"/>
  <c r="J603" i="1"/>
  <c r="J139" i="1"/>
  <c r="E122" i="2"/>
  <c r="E109" i="2"/>
  <c r="C23" i="10"/>
  <c r="C25" i="10"/>
  <c r="H139" i="1"/>
  <c r="G61" i="2"/>
  <c r="G62" i="2" s="1"/>
  <c r="G661" i="1"/>
  <c r="C117" i="2"/>
  <c r="E13" i="13"/>
  <c r="C13" i="13" s="1"/>
  <c r="D12" i="13"/>
  <c r="C12" i="13" s="1"/>
  <c r="C109" i="2"/>
  <c r="L246" i="1"/>
  <c r="F660" i="1"/>
  <c r="I368" i="1"/>
  <c r="H633" i="1" s="1"/>
  <c r="J633" i="1" s="1"/>
  <c r="F570" i="1"/>
  <c r="C69" i="2"/>
  <c r="D19" i="13"/>
  <c r="C19" i="13" s="1"/>
  <c r="C118" i="2"/>
  <c r="L255" i="1"/>
  <c r="G161" i="2"/>
  <c r="L564" i="1"/>
  <c r="L308" i="1"/>
  <c r="C16" i="10"/>
  <c r="F49" i="2"/>
  <c r="J337" i="1"/>
  <c r="J351" i="1" s="1"/>
  <c r="G80" i="2"/>
  <c r="I168" i="1"/>
  <c r="G102" i="2"/>
  <c r="G191" i="1"/>
  <c r="J111" i="1"/>
  <c r="I407" i="1"/>
  <c r="J650" i="1"/>
  <c r="F90" i="2"/>
  <c r="F168" i="1"/>
  <c r="A13" i="12"/>
  <c r="A40" i="12"/>
  <c r="C122" i="2"/>
  <c r="F551" i="1"/>
  <c r="F77" i="2"/>
  <c r="F80" i="2" s="1"/>
  <c r="D61" i="2"/>
  <c r="D62" i="2" s="1"/>
  <c r="C131" i="2"/>
  <c r="J551" i="1"/>
  <c r="I551" i="1"/>
  <c r="F61" i="2"/>
  <c r="F62" i="2" s="1"/>
  <c r="L210" i="1"/>
  <c r="G544" i="1"/>
  <c r="H191" i="1"/>
  <c r="G157" i="2"/>
  <c r="G156" i="2"/>
  <c r="C61" i="2"/>
  <c r="C62" i="2" s="1"/>
  <c r="I445" i="1"/>
  <c r="G641" i="1" s="1"/>
  <c r="F337" i="1"/>
  <c r="F351" i="1" s="1"/>
  <c r="G159" i="2"/>
  <c r="E102" i="2"/>
  <c r="G460" i="1"/>
  <c r="H639" i="1" s="1"/>
  <c r="J639" i="1" s="1"/>
  <c r="K549" i="1"/>
  <c r="C29" i="10"/>
  <c r="D49" i="2"/>
  <c r="G160" i="2"/>
  <c r="C108" i="2"/>
  <c r="C77" i="2"/>
  <c r="C26" i="10"/>
  <c r="H407" i="1"/>
  <c r="H643" i="1" s="1"/>
  <c r="J643" i="1" s="1"/>
  <c r="K256" i="1"/>
  <c r="K270" i="1" s="1"/>
  <c r="C84" i="2"/>
  <c r="C90" i="2" s="1"/>
  <c r="F31" i="2"/>
  <c r="H661" i="1"/>
  <c r="H337" i="1"/>
  <c r="H351" i="1" s="1"/>
  <c r="F102" i="2"/>
  <c r="D90" i="2"/>
  <c r="D80" i="2"/>
  <c r="J570" i="1"/>
  <c r="L523" i="1"/>
  <c r="G407" i="1"/>
  <c r="H644" i="1" s="1"/>
  <c r="E143" i="2"/>
  <c r="J256" i="1"/>
  <c r="J270" i="1" s="1"/>
  <c r="H256" i="1"/>
  <c r="H270" i="1" s="1"/>
  <c r="F256" i="1"/>
  <c r="F270" i="1" s="1"/>
  <c r="C121" i="2"/>
  <c r="A31" i="12"/>
  <c r="L361" i="1"/>
  <c r="L327" i="1"/>
  <c r="C15" i="10"/>
  <c r="E121" i="2"/>
  <c r="L289" i="1"/>
  <c r="D29" i="13"/>
  <c r="C29" i="13" s="1"/>
  <c r="D18" i="13"/>
  <c r="C18" i="13" s="1"/>
  <c r="J648" i="1"/>
  <c r="D7" i="13"/>
  <c r="C7" i="13" s="1"/>
  <c r="C110" i="2"/>
  <c r="E16" i="13"/>
  <c r="C16" i="13" s="1"/>
  <c r="F22" i="13"/>
  <c r="C22" i="13" s="1"/>
  <c r="H570" i="1"/>
  <c r="I570" i="1"/>
  <c r="F460" i="1"/>
  <c r="H638" i="1" s="1"/>
  <c r="J638" i="1" s="1"/>
  <c r="G256" i="1"/>
  <c r="G270" i="1" s="1"/>
  <c r="F191" i="1"/>
  <c r="G163" i="2"/>
  <c r="G162" i="2"/>
  <c r="G158" i="2"/>
  <c r="C102" i="2"/>
  <c r="H168" i="1"/>
  <c r="E124" i="2"/>
  <c r="C13" i="10"/>
  <c r="E120" i="2"/>
  <c r="G660" i="1"/>
  <c r="C11" i="10"/>
  <c r="G337" i="1"/>
  <c r="G351" i="1" s="1"/>
  <c r="G155" i="2"/>
  <c r="D18" i="2"/>
  <c r="L269" i="1"/>
  <c r="K548" i="1"/>
  <c r="L400" i="1"/>
  <c r="C138" i="2" s="1"/>
  <c r="L392" i="1"/>
  <c r="C137" i="2" s="1"/>
  <c r="E113" i="2"/>
  <c r="E118" i="2"/>
  <c r="D17" i="13"/>
  <c r="C17" i="13" s="1"/>
  <c r="C20" i="10"/>
  <c r="D6" i="13"/>
  <c r="C6" i="13" s="1"/>
  <c r="L228" i="1"/>
  <c r="C19" i="10"/>
  <c r="K544" i="1"/>
  <c r="J544" i="1"/>
  <c r="L426" i="1"/>
  <c r="F407" i="1"/>
  <c r="H642" i="1" s="1"/>
  <c r="J642" i="1" s="1"/>
  <c r="E49" i="2"/>
  <c r="G551" i="1"/>
  <c r="C17" i="10"/>
  <c r="L569" i="1"/>
  <c r="L533" i="1"/>
  <c r="F129" i="2"/>
  <c r="F143" i="2" s="1"/>
  <c r="F144" i="2" s="1"/>
  <c r="D14" i="13"/>
  <c r="C14" i="13" s="1"/>
  <c r="G644" i="1"/>
  <c r="L538" i="1"/>
  <c r="H544" i="1"/>
  <c r="I459" i="1"/>
  <c r="L418" i="1"/>
  <c r="C113" i="2"/>
  <c r="E123" i="2"/>
  <c r="E110" i="2"/>
  <c r="E119" i="2"/>
  <c r="C10" i="10"/>
  <c r="H111" i="1"/>
  <c r="I544" i="1"/>
  <c r="K597" i="1"/>
  <c r="G646" i="1" s="1"/>
  <c r="K570" i="1"/>
  <c r="L559" i="1"/>
  <c r="H460" i="1"/>
  <c r="H640" i="1" s="1"/>
  <c r="J640" i="1" s="1"/>
  <c r="L432" i="1"/>
  <c r="I256" i="1"/>
  <c r="I270" i="1" s="1"/>
  <c r="E112" i="2"/>
  <c r="E77" i="2"/>
  <c r="E80" i="2" s="1"/>
  <c r="C111" i="2"/>
  <c r="C124" i="2"/>
  <c r="E18" i="2"/>
  <c r="D31" i="2"/>
  <c r="E61" i="2"/>
  <c r="E62" i="2" s="1"/>
  <c r="H25" i="13"/>
  <c r="F111" i="1"/>
  <c r="K502" i="1"/>
  <c r="E108" i="2"/>
  <c r="D5" i="13"/>
  <c r="C5" i="13" s="1"/>
  <c r="H646" i="1"/>
  <c r="L543" i="1"/>
  <c r="D126" i="2"/>
  <c r="D127" i="2" s="1"/>
  <c r="D144" i="2" s="1"/>
  <c r="E8" i="13"/>
  <c r="C8" i="13" s="1"/>
  <c r="L613" i="1"/>
  <c r="E111" i="2"/>
  <c r="H660" i="1"/>
  <c r="C21" i="10"/>
  <c r="K550" i="1"/>
  <c r="C35" i="10"/>
  <c r="K499" i="1"/>
  <c r="I451" i="1"/>
  <c r="I51" i="1"/>
  <c r="H619" i="1" s="1"/>
  <c r="J619" i="1" s="1"/>
  <c r="C120" i="2"/>
  <c r="H551" i="1"/>
  <c r="E117" i="2"/>
  <c r="C12" i="10"/>
  <c r="L350" i="1"/>
  <c r="K337" i="1"/>
  <c r="K351" i="1" s="1"/>
  <c r="C32" i="10"/>
  <c r="G111" i="1"/>
  <c r="L336" i="1"/>
  <c r="D15" i="13"/>
  <c r="C15" i="13" s="1"/>
  <c r="F661" i="1"/>
  <c r="C123" i="2"/>
  <c r="C119" i="2"/>
  <c r="C18" i="10"/>
  <c r="L381" i="1"/>
  <c r="G635" i="1" s="1"/>
  <c r="J635" i="1" s="1"/>
  <c r="L528" i="1"/>
  <c r="F18" i="2"/>
  <c r="E31" i="2"/>
  <c r="H51" i="1"/>
  <c r="H618" i="1" s="1"/>
  <c r="J618" i="1" s="1"/>
  <c r="G51" i="1"/>
  <c r="H617" i="1" s="1"/>
  <c r="J617" i="1" s="1"/>
  <c r="C31" i="2"/>
  <c r="C18" i="2"/>
  <c r="C24" i="10"/>
  <c r="G31" i="13"/>
  <c r="G33" i="13" s="1"/>
  <c r="I337" i="1"/>
  <c r="I351" i="1" s="1"/>
  <c r="J649" i="1"/>
  <c r="L406" i="1"/>
  <c r="C139" i="2" s="1"/>
  <c r="I191" i="1"/>
  <c r="E90" i="2"/>
  <c r="J653" i="1"/>
  <c r="J652" i="1"/>
  <c r="G21" i="2"/>
  <c r="G31" i="2" s="1"/>
  <c r="J32" i="1"/>
  <c r="J433" i="1"/>
  <c r="F433" i="1"/>
  <c r="K433" i="1"/>
  <c r="G133" i="2" s="1"/>
  <c r="G143" i="2" s="1"/>
  <c r="G144" i="2" s="1"/>
  <c r="F31" i="13"/>
  <c r="G168" i="1"/>
  <c r="G139" i="1"/>
  <c r="F139" i="1"/>
  <c r="G42" i="2"/>
  <c r="G49" i="2" s="1"/>
  <c r="J50" i="1"/>
  <c r="G16" i="2"/>
  <c r="G18" i="2" s="1"/>
  <c r="J19" i="1"/>
  <c r="G620" i="1" s="1"/>
  <c r="F544" i="1"/>
  <c r="H433" i="1"/>
  <c r="D102" i="2"/>
  <c r="I139" i="1"/>
  <c r="A22" i="12"/>
  <c r="J651" i="1"/>
  <c r="G570" i="1"/>
  <c r="I433" i="1"/>
  <c r="G433" i="1"/>
  <c r="G634" i="1" l="1"/>
  <c r="G471" i="1"/>
  <c r="J192" i="1"/>
  <c r="G645" i="1" s="1"/>
  <c r="F50" i="1"/>
  <c r="C48" i="2"/>
  <c r="C49" i="2" s="1"/>
  <c r="J604" i="1"/>
  <c r="K603" i="1"/>
  <c r="K604" i="1" s="1"/>
  <c r="G647" i="1" s="1"/>
  <c r="H662" i="1"/>
  <c r="I662" i="1" s="1"/>
  <c r="H659" i="1"/>
  <c r="F103" i="2"/>
  <c r="C39" i="10"/>
  <c r="D50" i="2"/>
  <c r="I661" i="1"/>
  <c r="F50" i="2"/>
  <c r="J644" i="1"/>
  <c r="C80" i="2"/>
  <c r="C103" i="2" s="1"/>
  <c r="L570" i="1"/>
  <c r="G659" i="1"/>
  <c r="G663" i="1" s="1"/>
  <c r="G666" i="1" s="1"/>
  <c r="K551" i="1"/>
  <c r="J646" i="1"/>
  <c r="F659" i="1"/>
  <c r="G103" i="2"/>
  <c r="H192" i="1"/>
  <c r="L256" i="1"/>
  <c r="L270" i="1" s="1"/>
  <c r="F471" i="1" s="1"/>
  <c r="E103" i="2"/>
  <c r="L433" i="1"/>
  <c r="I192" i="1"/>
  <c r="D103" i="2"/>
  <c r="C140" i="2"/>
  <c r="C143" i="2" s="1"/>
  <c r="C114" i="2"/>
  <c r="C27" i="10"/>
  <c r="C28" i="10" s="1"/>
  <c r="D21" i="10" s="1"/>
  <c r="H647" i="1"/>
  <c r="J647" i="1" s="1"/>
  <c r="D31" i="13"/>
  <c r="C31" i="13" s="1"/>
  <c r="I660" i="1"/>
  <c r="G50" i="2"/>
  <c r="C36" i="10"/>
  <c r="C50" i="2"/>
  <c r="E114" i="2"/>
  <c r="L544" i="1"/>
  <c r="L337" i="1"/>
  <c r="L351" i="1" s="1"/>
  <c r="E33" i="13"/>
  <c r="D35" i="13" s="1"/>
  <c r="I460" i="1"/>
  <c r="H641" i="1" s="1"/>
  <c r="J641" i="1" s="1"/>
  <c r="C127" i="2"/>
  <c r="F33" i="13"/>
  <c r="L407" i="1"/>
  <c r="G636" i="1" s="1"/>
  <c r="J636" i="1" s="1"/>
  <c r="E50" i="2"/>
  <c r="E127" i="2"/>
  <c r="F192" i="1"/>
  <c r="C25" i="13"/>
  <c r="H33" i="13"/>
  <c r="G630" i="1"/>
  <c r="J630" i="1" s="1"/>
  <c r="G192" i="1"/>
  <c r="G625" i="1"/>
  <c r="J51" i="1"/>
  <c r="H620" i="1" s="1"/>
  <c r="J620" i="1" s="1"/>
  <c r="C38" i="10"/>
  <c r="G473" i="1" l="1"/>
  <c r="H634" i="1"/>
  <c r="G627" i="1"/>
  <c r="G467" i="1"/>
  <c r="G621" i="1"/>
  <c r="F51" i="1"/>
  <c r="H616" i="1" s="1"/>
  <c r="J616" i="1" s="1"/>
  <c r="J634" i="1"/>
  <c r="H663" i="1"/>
  <c r="H666" i="1" s="1"/>
  <c r="G637" i="1"/>
  <c r="J471" i="1"/>
  <c r="G628" i="1"/>
  <c r="G632" i="1"/>
  <c r="H471" i="1"/>
  <c r="G626" i="1"/>
  <c r="F467" i="1"/>
  <c r="G629" i="1"/>
  <c r="I467" i="1"/>
  <c r="G631" i="1"/>
  <c r="D33" i="13"/>
  <c r="D36" i="13" s="1"/>
  <c r="H645" i="1"/>
  <c r="J645" i="1" s="1"/>
  <c r="I659" i="1"/>
  <c r="I663" i="1" s="1"/>
  <c r="I671" i="1" s="1"/>
  <c r="C7" i="10" s="1"/>
  <c r="C144" i="2"/>
  <c r="F663" i="1"/>
  <c r="F671" i="1" s="1"/>
  <c r="C4" i="10" s="1"/>
  <c r="D15" i="10"/>
  <c r="D11" i="10"/>
  <c r="D26" i="10"/>
  <c r="D17" i="10"/>
  <c r="E144" i="2"/>
  <c r="D12" i="10"/>
  <c r="D27" i="10"/>
  <c r="D16" i="10"/>
  <c r="D22" i="10"/>
  <c r="D18" i="10"/>
  <c r="D24" i="10"/>
  <c r="G671" i="1"/>
  <c r="C5" i="10" s="1"/>
  <c r="D19" i="10"/>
  <c r="D10" i="10"/>
  <c r="D25" i="10"/>
  <c r="C30" i="10"/>
  <c r="D23" i="10"/>
  <c r="D20" i="10"/>
  <c r="D13" i="10"/>
  <c r="C41" i="10"/>
  <c r="D38" i="10" s="1"/>
  <c r="G469" i="1" l="1"/>
  <c r="G475" i="1" s="1"/>
  <c r="H622" i="1" s="1"/>
  <c r="J622" i="1" s="1"/>
  <c r="H627" i="1"/>
  <c r="J627" i="1" s="1"/>
  <c r="H671" i="1"/>
  <c r="C6" i="10" s="1"/>
  <c r="H637" i="1"/>
  <c r="J637" i="1" s="1"/>
  <c r="J473" i="1"/>
  <c r="J475" i="1" s="1"/>
  <c r="H625" i="1" s="1"/>
  <c r="J625" i="1" s="1"/>
  <c r="H628" i="1"/>
  <c r="J628" i="1" s="1"/>
  <c r="H469" i="1"/>
  <c r="H632" i="1"/>
  <c r="J632" i="1" s="1"/>
  <c r="H473" i="1"/>
  <c r="F469" i="1"/>
  <c r="H626" i="1"/>
  <c r="J626" i="1" s="1"/>
  <c r="I469" i="1"/>
  <c r="I475" i="1" s="1"/>
  <c r="H624" i="1" s="1"/>
  <c r="J624" i="1" s="1"/>
  <c r="H629" i="1"/>
  <c r="J629" i="1" s="1"/>
  <c r="F473" i="1"/>
  <c r="F475" i="1" s="1"/>
  <c r="H621" i="1" s="1"/>
  <c r="H631" i="1"/>
  <c r="J631" i="1" s="1"/>
  <c r="F666" i="1"/>
  <c r="I666" i="1"/>
  <c r="D28" i="10"/>
  <c r="D37" i="10"/>
  <c r="D36" i="10"/>
  <c r="D35" i="10"/>
  <c r="D40" i="10"/>
  <c r="D39" i="10"/>
  <c r="H475" i="1" l="1"/>
  <c r="H623" i="1" s="1"/>
  <c r="J623" i="1" s="1"/>
  <c r="J621" i="1"/>
  <c r="H655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<sst xmlns="http://schemas.openxmlformats.org/spreadsheetml/2006/main" count="3947" uniqueCount="913">
  <si>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</si>
  <si>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</si>
  <si>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</si>
  <si>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</si>
  <si>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</si>
  <si>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</si>
  <si>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</si>
  <si>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</si>
  <si>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</si>
  <si>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</si>
  <si>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</si>
  <si>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</si>
  <si>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</si>
  <si>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</si>
  <si>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</si>
  <si>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</si>
  <si>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</si>
  <si>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</si>
  <si>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</si>
  <si>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</si>
  <si>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</si>
  <si>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</si>
  <si>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</si>
  <si>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</si>
  <si>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</si>
  <si>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</si>
  <si>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</si>
  <si>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</si>
  <si>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</si>
  <si>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</si>
  <si>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</si>
  <si>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</si>
  <si>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</si>
  <si>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</si>
  <si>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</si>
  <si>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</si>
  <si>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</si>
  <si>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</si>
  <si>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</si>
  <si>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</si>
  <si>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</si>
  <si>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</si>
  <si>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</si>
  <si>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</si>
  <si>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</si>
  <si>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</si>
  <si>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</si>
  <si>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</si>
  <si>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</si>
  <si>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</si>
  <si>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</si>
  <si>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</si>
  <si>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</si>
  <si>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</si>
  <si>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</si>
  <si>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</si>
  <si>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</si>
  <si>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</si>
  <si>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</si>
  <si>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</si>
  <si>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</si>
  <si>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</si>
  <si>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</si>
  <si>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</si>
  <si>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</si>
  <si>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</si>
  <si>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</si>
  <si>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</si>
  <si>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</si>
  <si>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</si>
  <si>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</si>
  <si>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</si>
  <si>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</si>
  <si>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</si>
  <si>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</si>
  <si>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</si>
  <si>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</si>
  <si>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</si>
  <si>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</si>
  <si>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</si>
  <si>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</si>
  <si>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</si>
  <si>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</si>
  <si>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</si>
  <si>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</si>
  <si>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</si>
  <si>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</si>
  <si>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</si>
  <si>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</si>
  <si>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</si>
  <si>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</si>
  <si>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</si>
  <si>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</si>
  <si>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</si>
  <si>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</si>
  <si>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</si>
  <si>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</si>
  <si>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</si>
  <si>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</si>
  <si>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</si>
  <si>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</si>
  <si>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</si>
  <si>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</si>
  <si>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</si>
  <si>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</si>
  <si>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</si>
  <si>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</si>
  <si>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</si>
  <si>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</si>
  <si>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</si>
  <si>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</si>
  <si>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</si>
  <si>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</si>
  <si>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</si>
  <si>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</si>
  <si>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</si>
  <si>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</si>
  <si>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</si>
  <si>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</si>
  <si>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</si>
  <si>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</si>
  <si>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</si>
  <si>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</si>
  <si>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</si>
  <si>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</si>
  <si>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</si>
  <si>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</si>
  <si>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</si>
  <si>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</si>
  <si>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</si>
  <si>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</si>
  <si>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</si>
  <si>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</si>
  <si>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</si>
  <si>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</si>
  <si>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</si>
  <si>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</si>
  <si>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</si>
  <si>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</si>
  <si>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</si>
  <si>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</si>
  <si>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</si>
  <si>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</si>
  <si>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</si>
  <si>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</si>
  <si>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</si>
  <si>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</si>
  <si>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</si>
  <si>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</si>
  <si>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</si>
  <si>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</si>
  <si>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</si>
  <si>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</si>
  <si>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</si>
  <si>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</si>
  <si>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</si>
  <si>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</si>
  <si>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</si>
  <si>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</si>
  <si>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</si>
  <si>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</si>
  <si>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</si>
  <si>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</si>
  <si>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</si>
  <si>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</si>
  <si>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</si>
  <si>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</si>
  <si>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</si>
  <si>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</si>
  <si>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</si>
  <si>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</si>
  <si>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</si>
  <si>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</si>
  <si>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</si>
  <si>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</si>
  <si>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</si>
  <si>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</si>
  <si>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</si>
  <si>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</si>
  <si>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</si>
  <si>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</si>
  <si>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</si>
  <si>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</si>
  <si>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</si>
  <si>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</si>
  <si>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</si>
  <si>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</si>
  <si>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</si>
  <si>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</si>
  <si>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</si>
  <si>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</si>
  <si>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</si>
  <si>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</si>
  <si>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</si>
  <si>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</si>
  <si>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</si>
  <si>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</si>
  <si>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</si>
  <si>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</si>
  <si>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</si>
  <si>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</si>
  <si>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</si>
  <si>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</si>
  <si>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</si>
  <si>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</si>
  <si>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</si>
  <si>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</si>
  <si>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</si>
  <si>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</si>
  <si>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</si>
  <si>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</si>
  <si>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</si>
  <si>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</si>
  <si>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</si>
  <si>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</si>
  <si>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</si>
  <si>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</si>
  <si>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</si>
  <si>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</si>
  <si>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</si>
  <si>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</si>
  <si>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</si>
  <si>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</si>
  <si>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</si>
  <si>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</si>
  <si>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</si>
  <si>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</si>
  <si>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</si>
  <si>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</si>
  <si>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</si>
  <si>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</si>
  <si>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</si>
  <si>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</si>
  <si>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</si>
  <si>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</si>
  <si>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</si>
  <si>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</si>
  <si>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</si>
  <si>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</si>
  <si>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</si>
  <si>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</si>
  <si>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</si>
  <si>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</si>
  <si>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</si>
  <si>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</si>
  <si>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</si>
  <si>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</si>
  <si>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</si>
  <si>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</si>
  <si>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</si>
  <si>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</si>
  <si>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</si>
  <si>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</si>
  <si>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</si>
  <si>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</si>
  <si>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</si>
  <si>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</si>
  <si>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</si>
  <si>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</si>
  <si>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</si>
  <si>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</si>
  <si>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</si>
  <si>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</si>
  <si>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</si>
  <si>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</si>
  <si>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</si>
  <si>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</si>
  <si>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</si>
  <si>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</si>
  <si>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</si>
  <si>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</si>
  <si>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</si>
  <si>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</si>
  <si>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</si>
  <si>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</si>
  <si>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</si>
  <si>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</si>
  <si>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</si>
  <si>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</si>
  <si>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</si>
  <si>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</si>
  <si>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</si>
  <si>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</si>
  <si>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</si>
  <si>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</si>
  <si>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</si>
  <si>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</si>
  <si>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</si>
  <si>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</si>
  <si>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</si>
  <si>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</si>
  <si>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</si>
  <si>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</si>
  <si>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</si>
  <si>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</si>
  <si>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</si>
  <si>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</si>
  <si>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</si>
  <si>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</si>
  <si>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</si>
  <si>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</si>
  <si>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</si>
  <si>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</si>
  <si>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</si>
  <si>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</si>
  <si>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</si>
  <si>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</si>
  <si>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</si>
  <si>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</si>
  <si>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</si>
  <si>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</si>
  <si>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</si>
  <si>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</si>
  <si>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</si>
  <si>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</si>
  <si>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</si>
  <si>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</si>
  <si>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</si>
  <si>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</si>
  <si>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</si>
  <si>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</si>
  <si>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</si>
  <si>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</si>
  <si>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</si>
  <si>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</si>
  <si>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</si>
  <si>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</si>
  <si>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</si>
  <si>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</si>
  <si>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</si>
  <si>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</si>
  <si>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</si>
  <si>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</si>
  <si>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</si>
  <si>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</si>
  <si>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</si>
  <si>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</si>
  <si>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</si>
  <si>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</si>
  <si>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</si>
  <si>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</si>
  <si>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</si>
  <si>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</si>
  <si>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</si>
  <si>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</si>
  <si>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</si>
  <si>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</si>
  <si>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</si>
  <si>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</si>
  <si>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</si>
  <si>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</si>
  <si>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</si>
  <si>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</si>
  <si>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</si>
  <si>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</si>
  <si>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</si>
  <si>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</si>
  <si>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</si>
  <si>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</si>
  <si>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</si>
  <si>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</si>
  <si>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</si>
  <si>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</si>
  <si>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</si>
  <si>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</si>
  <si>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</si>
  <si>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</si>
  <si>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</si>
  <si>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</si>
  <si>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</si>
  <si>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</si>
  <si>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</si>
  <si>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</si>
  <si>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</si>
  <si>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</si>
  <si>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</si>
  <si>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</si>
  <si>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</si>
  <si>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</si>
  <si>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</si>
  <si>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</si>
  <si>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</si>
  <si>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</si>
  <si>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</si>
  <si>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</si>
  <si>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</si>
  <si>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</si>
  <si>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</si>
  <si>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</si>
  <si>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</si>
  <si>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</si>
  <si>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</si>
  <si>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</si>
  <si>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</si>
  <si>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</si>
  <si>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</si>
  <si>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</si>
  <si>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</si>
  <si>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</si>
  <si>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</si>
  <si>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</si>
  <si>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</si>
  <si>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</si>
  <si>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</si>
  <si>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</si>
  <si>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</si>
  <si>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</si>
  <si>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</si>
  <si>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</si>
  <si>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</si>
  <si>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</si>
  <si>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</si>
  <si>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</si>
  <si>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</si>
  <si>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</si>
  <si>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</si>
  <si>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</si>
  <si>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</si>
  <si>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</si>
  <si>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</si>
  <si>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</si>
  <si>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</si>
  <si>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</si>
  <si>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</si>
  <si>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</si>
  <si>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</si>
  <si>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</si>
  <si>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</si>
  <si>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</si>
  <si>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</si>
  <si>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</si>
  <si>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</si>
  <si>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</si>
  <si>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</si>
  <si>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</si>
  <si>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</si>
  <si>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</si>
  <si>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</si>
  <si>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</si>
  <si>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</si>
  <si>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</si>
  <si>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</si>
  <si>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</si>
  <si>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</si>
  <si>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</si>
  <si>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</si>
  <si>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</si>
  <si>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</si>
  <si>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</si>
  <si>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</si>
  <si>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</si>
  <si>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</si>
  <si>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</si>
  <si>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</si>
  <si>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</si>
  <si>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</si>
  <si>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</si>
  <si>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</si>
  <si>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</si>
  <si>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</si>
  <si>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</si>
  <si>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</si>
  <si>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</si>
  <si>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</si>
  <si>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</si>
  <si>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</si>
  <si>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</si>
  <si>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</si>
  <si>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</si>
  <si>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</si>
  <si>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</si>
  <si>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</si>
  <si>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</si>
  <si>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</si>
  <si>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</si>
  <si>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</si>
  <si>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</si>
  <si>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</si>
  <si>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</si>
  <si>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</si>
  <si>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</si>
  <si>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</si>
  <si>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</si>
  <si>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</si>
  <si>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</si>
  <si>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</si>
  <si>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</si>
  <si>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</si>
  <si>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</si>
  <si>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</si>
  <si>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</si>
  <si>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</si>
  <si>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</si>
  <si>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</si>
  <si>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</si>
  <si>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</si>
  <si>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</si>
  <si>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</si>
  <si>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</si>
  <si>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</si>
  <si>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</si>
  <si>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</si>
  <si>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</si>
  <si>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</si>
  <si>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</si>
  <si>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</si>
  <si>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</si>
  <si>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</si>
  <si>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</si>
  <si>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</si>
  <si>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</si>
  <si>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</si>
  <si>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</si>
  <si>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</si>
  <si>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</si>
  <si>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</si>
  <si>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</si>
  <si>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</si>
  <si>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</si>
  <si>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</si>
  <si>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</si>
  <si>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</si>
  <si>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</si>
  <si>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</si>
  <si>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</si>
  <si>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</si>
  <si>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</si>
  <si>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</si>
  <si>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</si>
  <si>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</si>
  <si>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</si>
  <si>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</si>
  <si>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</si>
  <si>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</si>
  <si>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</si>
  <si>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</si>
  <si>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</si>
  <si>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</si>
  <si>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</si>
  <si>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</si>
  <si>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</si>
  <si>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</si>
  <si>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</si>
  <si>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</si>
  <si>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</si>
  <si>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</si>
  <si>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</si>
  <si>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</si>
  <si>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</si>
  <si>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</si>
  <si>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</si>
  <si>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</si>
  <si>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</si>
  <si>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</si>
  <si>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</si>
  <si>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</si>
  <si>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</si>
  <si>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</si>
  <si>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</si>
  <si>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</si>
  <si>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</si>
  <si>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</si>
  <si>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</si>
  <si>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</si>
  <si>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</si>
  <si>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</si>
  <si>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</si>
  <si>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</si>
  <si>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</si>
  <si>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</si>
  <si>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</si>
  <si>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</si>
  <si>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</si>
  <si>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</si>
  <si>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</si>
  <si>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</si>
  <si>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</si>
  <si>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</si>
  <si>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</si>
  <si>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</si>
  <si>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</si>
  <si>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</si>
  <si>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</si>
  <si>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</si>
  <si>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</si>
  <si>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</si>
  <si>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</si>
  <si>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</si>
  <si>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</si>
  <si>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</si>
  <si>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</si>
  <si>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</si>
  <si>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</si>
  <si>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</si>
  <si>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</si>
  <si>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</si>
  <si>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</si>
  <si>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</si>
  <si>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</si>
  <si>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</si>
  <si>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</si>
  <si>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</si>
  <si>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</si>
  <si>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</si>
  <si>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</si>
  <si>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</si>
  <si>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</si>
  <si>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</si>
  <si>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</si>
  <si>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</si>
  <si>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</si>
  <si>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</si>
  <si>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</si>
  <si>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</si>
  <si>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</si>
  <si>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</si>
  <si>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</si>
  <si>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</si>
  <si>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</si>
  <si>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</si>
  <si>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</si>
  <si>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</si>
  <si>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</si>
  <si>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</si>
  <si>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</si>
  <si>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</si>
  <si>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</si>
  <si>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</si>
  <si>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</si>
  <si>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</si>
  <si>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</si>
  <si>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</si>
  <si>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</si>
  <si>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</si>
  <si>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</si>
  <si>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</si>
  <si>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</si>
  <si>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</si>
  <si>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</si>
  <si>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</si>
  <si>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</si>
  <si>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</si>
  <si>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</si>
  <si>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</si>
  <si>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</si>
  <si>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</si>
  <si>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</si>
  <si>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</si>
  <si>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</si>
  <si>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</si>
  <si>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</si>
  <si>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</si>
  <si>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</si>
  <si>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</si>
  <si>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</si>
  <si>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</si>
  <si>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</si>
  <si>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</si>
  <si>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</si>
  <si>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</si>
  <si>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</si>
  <si>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</si>
  <si>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</si>
  <si>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</si>
  <si>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</si>
  <si>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</si>
  <si>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</si>
  <si>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</si>
  <si>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</si>
  <si>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</si>
  <si>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</si>
  <si>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</si>
  <si>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</si>
  <si>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</si>
  <si>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</si>
  <si>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</si>
  <si>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</si>
  <si>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</si>
  <si>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</si>
  <si>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</si>
  <si>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</si>
  <si>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</si>
  <si>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</si>
  <si>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</si>
  <si>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</si>
  <si>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</si>
  <si>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</si>
  <si>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</si>
  <si>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</si>
  <si>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</si>
  <si>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</si>
  <si>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</si>
  <si>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</si>
  <si>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</si>
  <si>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</si>
  <si>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</si>
  <si>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</si>
  <si>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</si>
  <si>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</si>
  <si>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</si>
  <si>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</si>
  <si>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</si>
  <si>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</si>
  <si>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</si>
  <si>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</si>
  <si>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</si>
  <si>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</si>
  <si>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</si>
  <si>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</si>
  <si>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</si>
  <si>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</si>
  <si>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</si>
  <si>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</si>
  <si>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</si>
  <si>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</si>
  <si>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</si>
  <si>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</si>
  <si>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</si>
  <si>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</si>
  <si>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</si>
  <si>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</si>
  <si>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</si>
  <si>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</si>
  <si>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</si>
  <si>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</si>
  <si>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</si>
  <si>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</si>
  <si>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</si>
  <si>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</si>
  <si>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</si>
  <si>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</si>
  <si>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</si>
  <si>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</si>
  <si>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</si>
  <si>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</si>
  <si>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</si>
  <si>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</si>
  <si>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</si>
  <si>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</si>
  <si>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</si>
  <si>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</si>
  <si>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</si>
  <si>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</si>
  <si>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</si>
  <si>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</si>
  <si>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</si>
  <si>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</si>
  <si>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</si>
  <si>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</si>
  <si>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</si>
  <si>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</si>
  <si>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</si>
  <si>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</si>
  <si>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</si>
  <si>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</si>
  <si>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</si>
  <si>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</si>
  <si>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</si>
  <si>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</si>
  <si>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</si>
  <si>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</si>
  <si>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</si>
  <si>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</si>
  <si>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</si>
  <si>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</si>
  <si>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</si>
  <si>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</si>
  <si>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</si>
  <si>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</si>
  <si>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</si>
  <si>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</si>
  <si>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</si>
  <si>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</si>
  <si>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</si>
  <si>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</si>
  <si>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</si>
  <si>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</si>
  <si>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</si>
  <si>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</si>
  <si>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</si>
  <si>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</si>
  <si>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</si>
  <si>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</si>
  <si>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</si>
  <si>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</si>
  <si>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</si>
  <si>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</si>
  <si>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</si>
  <si>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</si>
  <si>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</si>
  <si>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</si>
  <si>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</si>
  <si>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</si>
  <si>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</si>
  <si>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</si>
  <si>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</si>
  <si>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</si>
  <si>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</si>
  <si>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</si>
  <si>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</si>
  <si>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</si>
  <si>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</si>
  <si>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</si>
  <si>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</si>
  <si>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</si>
  <si>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</si>
  <si>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</si>
  <si>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</si>
  <si>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</si>
  <si>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</si>
  <si>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</si>
  <si>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</si>
  <si>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</si>
  <si>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</si>
  <si>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</si>
  <si>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</si>
  <si>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</si>
  <si>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</si>
  <si>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</si>
  <si>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</si>
  <si>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</si>
  <si>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</si>
  <si>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</si>
  <si>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</si>
  <si>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</si>
  <si>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</si>
  <si>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</si>
  <si>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</si>
  <si>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</si>
  <si>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</si>
  <si>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</si>
  <si>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</si>
  <si>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</si>
  <si>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</si>
  <si>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</si>
  <si>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</si>
  <si>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</si>
  <si>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</si>
  <si>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</si>
  <si>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</si>
  <si>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</si>
  <si>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</si>
  <si>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</si>
  <si>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</si>
  <si>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</si>
  <si>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</si>
  <si>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</si>
  <si>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</si>
  <si>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</si>
  <si>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</si>
  <si>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</si>
  <si>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</si>
  <si>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</si>
  <si>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</si>
  <si>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</si>
  <si>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</si>
  <si>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</si>
  <si>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</si>
  <si>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</si>
  <si>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</si>
  <si>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</si>
  <si>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</si>
  <si>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</si>
  <si>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</si>
  <si>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</si>
  <si>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</si>
  <si>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</si>
  <si>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</si>
  <si>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</si>
  <si>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</si>
  <si>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</si>
  <si>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</si>
  <si>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</si>
  <si>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</si>
  <si>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</si>
  <si>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</si>
  <si>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</si>
  <si>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</si>
  <si>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</si>
  <si>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</si>
  <si>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</si>
  <si>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</si>
  <si>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</si>
  <si>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</si>
  <si>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</si>
  <si>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</si>
  <si>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</si>
  <si>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</si>
  <si>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</si>
  <si>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</si>
  <si>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</si>
  <si>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</si>
  <si>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</si>
  <si>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</si>
  <si>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</si>
  <si>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</si>
  <si>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</si>
  <si>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</si>
  <si>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</si>
  <si>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</si>
  <si>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</si>
  <si>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</si>
  <si>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</si>
  <si>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</si>
  <si>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</si>
  <si>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</si>
  <si>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</si>
  <si>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</si>
  <si>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</si>
  <si>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08/98</t>
  </si>
  <si>
    <t>08/13</t>
  </si>
  <si>
    <t xml:space="preserve">   To reconcile with prior audited financial statements</t>
  </si>
  <si>
    <t>Sunapee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</si>
</sst>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5"/>
  <sheetViews>
    <sheetView tabSelected="1" zoomScale="84" zoomScaleNormal="84" workbookViewId="0">
      <pane xSplit="5" ySplit="3" topLeftCell="F627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515</v>
      </c>
      <c r="C2" s="21">
        <v>515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381363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720511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199954</v>
      </c>
      <c r="G12" s="18">
        <v>30658</v>
      </c>
      <c r="H12" s="4"/>
      <c r="I12" s="4">
        <v>83347</v>
      </c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18262</v>
      </c>
      <c r="G13" s="18">
        <v>2060</v>
      </c>
      <c r="H13" s="18">
        <v>76065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5897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605476</v>
      </c>
      <c r="G19" s="41">
        <f>SUM(G9:G18)</f>
        <v>32718</v>
      </c>
      <c r="H19" s="41">
        <f>SUM(H9:H18)</f>
        <v>76065</v>
      </c>
      <c r="I19" s="41">
        <f>SUM(I9:I18)</f>
        <v>83347</v>
      </c>
      <c r="J19" s="41">
        <f>SUM(J9:J18)</f>
        <v>720511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76065</v>
      </c>
      <c r="I22" s="18">
        <v>83347</v>
      </c>
      <c r="J22" s="67">
        <f>SUM(I447)</f>
        <v>154547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0</v>
      </c>
      <c r="G24" s="18">
        <v>0</v>
      </c>
      <c r="H24" s="18">
        <v>0</v>
      </c>
      <c r="I24" s="18">
        <v>0</v>
      </c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0</v>
      </c>
      <c r="G28" s="18">
        <v>0</v>
      </c>
      <c r="H28" s="18">
        <v>0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0</v>
      </c>
      <c r="G29" s="18">
        <v>0</v>
      </c>
      <c r="H29" s="18">
        <v>0</v>
      </c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0</v>
      </c>
      <c r="G32" s="41">
        <f>SUM(G22:G31)</f>
        <v>0</v>
      </c>
      <c r="H32" s="41">
        <f>SUM(H22:H31)</f>
        <v>76065</v>
      </c>
      <c r="I32" s="41">
        <f>SUM(I22:I31)</f>
        <v>83347</v>
      </c>
      <c r="J32" s="41">
        <f>SUM(J22:J31)</f>
        <v>154547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32718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565964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130603</v>
      </c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F19-F48</f>
        <v>474873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605476</v>
      </c>
      <c r="G50" s="41">
        <f>SUM(G35:G49)</f>
        <v>32718</v>
      </c>
      <c r="H50" s="41">
        <f>SUM(H35:H49)</f>
        <v>0</v>
      </c>
      <c r="I50" s="41">
        <f>SUM(I35:I49)</f>
        <v>0</v>
      </c>
      <c r="J50" s="41">
        <f>SUM(J35:J49)</f>
        <v>565964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605476</v>
      </c>
      <c r="G51" s="41">
        <f>G50+G32</f>
        <v>32718</v>
      </c>
      <c r="H51" s="41">
        <f>H50+H32</f>
        <v>76065</v>
      </c>
      <c r="I51" s="41">
        <f>I50+I32</f>
        <v>83347</v>
      </c>
      <c r="J51" s="41">
        <f>J50+J32</f>
        <v>720511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6930856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6930856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86868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60500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147368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1207</v>
      </c>
      <c r="G95" s="18"/>
      <c r="H95" s="18"/>
      <c r="I95" s="18"/>
      <c r="J95" s="18">
        <f>H400</f>
        <v>503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69861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>
        <f>I400</f>
        <v>4167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4342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5549</v>
      </c>
      <c r="G110" s="41">
        <f>SUM(G95:G109)</f>
        <v>69861</v>
      </c>
      <c r="H110" s="41">
        <f>SUM(H95:H109)</f>
        <v>0</v>
      </c>
      <c r="I110" s="41">
        <f>SUM(I95:I109)</f>
        <v>0</v>
      </c>
      <c r="J110" s="41">
        <f>SUM(J95:J109)</f>
        <v>4670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7083773</v>
      </c>
      <c r="G111" s="41">
        <f>G59+G110</f>
        <v>69861</v>
      </c>
      <c r="H111" s="41">
        <f>H59+H78+H93+H110</f>
        <v>0</v>
      </c>
      <c r="I111" s="41">
        <f>I59+I110</f>
        <v>0</v>
      </c>
      <c r="J111" s="41">
        <f>J59+J110</f>
        <v>4670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18441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2892029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2910470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83480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134544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54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1829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218078</v>
      </c>
      <c r="G135" s="41">
        <f>SUM(G122:G134)</f>
        <v>1829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3128548</v>
      </c>
      <c r="G139" s="41">
        <f>G120+SUM(G135:G136)</f>
        <v>1829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47323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34350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41364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75973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160813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160813</v>
      </c>
      <c r="G161" s="41">
        <f>SUM(G149:G160)</f>
        <v>41364</v>
      </c>
      <c r="H161" s="41">
        <f>SUM(H149:H160)</f>
        <v>157646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160813</v>
      </c>
      <c r="G168" s="41">
        <f>G146+G161+SUM(G162:G167)</f>
        <v>41364</v>
      </c>
      <c r="H168" s="41">
        <f>H146+H161+SUM(H162:H167)</f>
        <v>157646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125000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125000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101000</v>
      </c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>
        <v>83347</v>
      </c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101000</v>
      </c>
      <c r="G187" s="41">
        <f>SUM(G184:G186)</f>
        <v>0</v>
      </c>
      <c r="H187" s="41">
        <f>SUM(H184:H186)</f>
        <v>0</v>
      </c>
      <c r="I187" s="41">
        <f>SUM(I184:I186)</f>
        <v>83347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101000</v>
      </c>
      <c r="G191" s="41">
        <f>G182+SUM(G187:G190)</f>
        <v>0</v>
      </c>
      <c r="H191" s="41">
        <f>+H182+SUM(H187:H190)</f>
        <v>0</v>
      </c>
      <c r="I191" s="41">
        <f>I176+I182+SUM(I187:I190)</f>
        <v>83347</v>
      </c>
      <c r="J191" s="41">
        <f>J182</f>
        <v>125000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10474134</v>
      </c>
      <c r="G192" s="47">
        <f>G111+G139+G168+G191</f>
        <v>113054</v>
      </c>
      <c r="H192" s="47">
        <f>H111+H139+H168+H191</f>
        <v>157646</v>
      </c>
      <c r="I192" s="47">
        <f>I111+I139+I168+I191</f>
        <v>83347</v>
      </c>
      <c r="J192" s="47">
        <f>J111+J139+J191</f>
        <v>129670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1007913</v>
      </c>
      <c r="G196" s="18">
        <v>351458</v>
      </c>
      <c r="H196" s="18">
        <v>15256</v>
      </c>
      <c r="I196" s="18" t="b">
        <f>41563=3485</f>
        <v>0</v>
      </c>
      <c r="J196" s="18">
        <v>2504</v>
      </c>
      <c r="K196" s="18">
        <v>0</v>
      </c>
      <c r="L196" s="19">
        <f>SUM(F196:K196)</f>
        <v>1377131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341423</v>
      </c>
      <c r="G197" s="18">
        <v>105628</v>
      </c>
      <c r="H197" s="18">
        <f>201315+2275</f>
        <v>203590</v>
      </c>
      <c r="I197" s="18">
        <v>4911</v>
      </c>
      <c r="J197" s="18">
        <v>1556</v>
      </c>
      <c r="K197" s="18">
        <v>794</v>
      </c>
      <c r="L197" s="19">
        <f>SUM(F197:K197)</f>
        <v>657902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12760</v>
      </c>
      <c r="G199" s="18">
        <v>18603</v>
      </c>
      <c r="H199" s="18">
        <v>0</v>
      </c>
      <c r="I199" s="18">
        <v>3511</v>
      </c>
      <c r="J199" s="18"/>
      <c r="K199" s="18"/>
      <c r="L199" s="19">
        <f>SUM(F199:K199)</f>
        <v>34874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169273</v>
      </c>
      <c r="G201" s="18">
        <v>76276</v>
      </c>
      <c r="H201" s="18">
        <v>23741</v>
      </c>
      <c r="I201" s="18">
        <v>3882</v>
      </c>
      <c r="J201" s="18">
        <v>0</v>
      </c>
      <c r="K201" s="18">
        <v>0</v>
      </c>
      <c r="L201" s="19">
        <f t="shared" ref="L201:L207" si="0">SUM(F201:K201)</f>
        <v>273172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78763</v>
      </c>
      <c r="G202" s="18">
        <f>1822+39190</f>
        <v>41012</v>
      </c>
      <c r="H202" s="18">
        <v>19737</v>
      </c>
      <c r="I202" s="18">
        <v>10400</v>
      </c>
      <c r="J202" s="18">
        <v>73497</v>
      </c>
      <c r="K202" s="18">
        <v>0</v>
      </c>
      <c r="L202" s="19">
        <f t="shared" si="0"/>
        <v>223409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95508</v>
      </c>
      <c r="G203" s="18">
        <f>5584+41470</f>
        <v>47054</v>
      </c>
      <c r="H203" s="18" t="b">
        <f>27767=5188</f>
        <v>0</v>
      </c>
      <c r="I203" s="18">
        <v>9608</v>
      </c>
      <c r="J203" s="18">
        <v>962</v>
      </c>
      <c r="K203" s="18">
        <v>3330</v>
      </c>
      <c r="L203" s="19">
        <f t="shared" si="0"/>
        <v>156462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227385</v>
      </c>
      <c r="G204" s="18">
        <v>66336</v>
      </c>
      <c r="H204" s="18">
        <v>1516</v>
      </c>
      <c r="I204" s="18" t="b">
        <f>1518=378</f>
        <v>0</v>
      </c>
      <c r="J204" s="18">
        <v>0</v>
      </c>
      <c r="K204" s="18">
        <v>745</v>
      </c>
      <c r="L204" s="19">
        <f t="shared" si="0"/>
        <v>295982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125929</v>
      </c>
      <c r="G206" s="18">
        <v>38325</v>
      </c>
      <c r="H206" s="18">
        <v>69554</v>
      </c>
      <c r="I206" s="18">
        <v>83888</v>
      </c>
      <c r="J206" s="18"/>
      <c r="K206" s="18"/>
      <c r="L206" s="19">
        <f t="shared" si="0"/>
        <v>317696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141573</v>
      </c>
      <c r="G207" s="18">
        <v>66409</v>
      </c>
      <c r="H207" s="18">
        <v>99079</v>
      </c>
      <c r="I207" s="18">
        <v>12301</v>
      </c>
      <c r="J207" s="18"/>
      <c r="K207" s="18"/>
      <c r="L207" s="19">
        <f t="shared" si="0"/>
        <v>319362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2200527</v>
      </c>
      <c r="G210" s="41">
        <f t="shared" si="1"/>
        <v>811101</v>
      </c>
      <c r="H210" s="41">
        <f t="shared" si="1"/>
        <v>432473</v>
      </c>
      <c r="I210" s="41">
        <f t="shared" si="1"/>
        <v>128501</v>
      </c>
      <c r="J210" s="41">
        <f t="shared" si="1"/>
        <v>78519</v>
      </c>
      <c r="K210" s="41">
        <f t="shared" si="1"/>
        <v>4869</v>
      </c>
      <c r="L210" s="41">
        <f t="shared" si="1"/>
        <v>3655990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609108</v>
      </c>
      <c r="G214" s="18">
        <v>351458</v>
      </c>
      <c r="H214" s="18">
        <v>3902</v>
      </c>
      <c r="I214" s="18">
        <v>33559</v>
      </c>
      <c r="J214" s="18">
        <v>6911</v>
      </c>
      <c r="K214" s="18">
        <v>0</v>
      </c>
      <c r="L214" s="19">
        <f>SUM(F214:K214)</f>
        <v>1004938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172882</v>
      </c>
      <c r="G215" s="18">
        <v>105628</v>
      </c>
      <c r="H215" s="18">
        <f>201315+44638</f>
        <v>245953</v>
      </c>
      <c r="I215" s="18">
        <v>4144</v>
      </c>
      <c r="J215" s="18">
        <v>1630</v>
      </c>
      <c r="K215" s="18">
        <v>794</v>
      </c>
      <c r="L215" s="19">
        <f>SUM(F215:K215)</f>
        <v>531031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49171</v>
      </c>
      <c r="G217" s="18">
        <v>18603</v>
      </c>
      <c r="H217" s="18"/>
      <c r="I217" s="18">
        <v>22489</v>
      </c>
      <c r="J217" s="18"/>
      <c r="K217" s="18"/>
      <c r="L217" s="19">
        <f>SUM(F217:K217)</f>
        <v>90263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161176</v>
      </c>
      <c r="G219" s="18">
        <v>76276</v>
      </c>
      <c r="H219" s="18">
        <v>25507</v>
      </c>
      <c r="I219" s="18">
        <v>1832</v>
      </c>
      <c r="J219" s="18">
        <v>0</v>
      </c>
      <c r="K219" s="18">
        <v>0</v>
      </c>
      <c r="L219" s="19">
        <f t="shared" ref="L219:L225" si="2">SUM(F219:K219)</f>
        <v>264791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85380</v>
      </c>
      <c r="G220" s="18">
        <f>4399+39190</f>
        <v>43589</v>
      </c>
      <c r="H220" s="18">
        <f>17982+375</f>
        <v>18357</v>
      </c>
      <c r="I220" s="18">
        <v>15530</v>
      </c>
      <c r="J220" s="18">
        <f>37191+36012</f>
        <v>73203</v>
      </c>
      <c r="K220" s="18">
        <v>0</v>
      </c>
      <c r="L220" s="19">
        <f t="shared" si="2"/>
        <v>236059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95508</v>
      </c>
      <c r="G221" s="18">
        <f>5584+41470</f>
        <v>47054</v>
      </c>
      <c r="H221" s="18">
        <v>27767</v>
      </c>
      <c r="I221" s="18">
        <v>9608</v>
      </c>
      <c r="J221" s="18">
        <v>962</v>
      </c>
      <c r="K221" s="18">
        <v>3330</v>
      </c>
      <c r="L221" s="19">
        <f t="shared" si="2"/>
        <v>184229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98941</v>
      </c>
      <c r="G222" s="18">
        <v>66336</v>
      </c>
      <c r="H222" s="18">
        <v>3512</v>
      </c>
      <c r="I222" s="18">
        <v>6431</v>
      </c>
      <c r="J222" s="18">
        <v>0</v>
      </c>
      <c r="K222" s="18">
        <v>2250</v>
      </c>
      <c r="L222" s="19">
        <f t="shared" si="2"/>
        <v>177470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64392</v>
      </c>
      <c r="G224" s="18">
        <v>38325</v>
      </c>
      <c r="H224" s="18">
        <f>72093+417+9271+56+1655</f>
        <v>83492</v>
      </c>
      <c r="I224" s="18">
        <v>105958</v>
      </c>
      <c r="J224" s="18"/>
      <c r="K224" s="18"/>
      <c r="L224" s="19">
        <f t="shared" si="2"/>
        <v>292167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40450</v>
      </c>
      <c r="G225" s="18">
        <v>18974</v>
      </c>
      <c r="H225" s="18">
        <v>28910</v>
      </c>
      <c r="I225" s="18">
        <v>12301</v>
      </c>
      <c r="J225" s="18"/>
      <c r="K225" s="18"/>
      <c r="L225" s="19">
        <f t="shared" si="2"/>
        <v>100635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1377008</v>
      </c>
      <c r="G228" s="41">
        <f>SUM(G214:G227)</f>
        <v>766243</v>
      </c>
      <c r="H228" s="41">
        <f>SUM(H214:H227)</f>
        <v>437400</v>
      </c>
      <c r="I228" s="41">
        <f>SUM(I214:I227)</f>
        <v>211852</v>
      </c>
      <c r="J228" s="41">
        <f>SUM(J214:J227)</f>
        <v>82706</v>
      </c>
      <c r="K228" s="41">
        <f t="shared" si="3"/>
        <v>6374</v>
      </c>
      <c r="L228" s="41">
        <f t="shared" si="3"/>
        <v>2881583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835817</v>
      </c>
      <c r="G232" s="18">
        <f>362108+16029</f>
        <v>378137</v>
      </c>
      <c r="H232" s="18">
        <v>5388</v>
      </c>
      <c r="I232" s="18">
        <v>46344</v>
      </c>
      <c r="J232" s="18">
        <v>9544</v>
      </c>
      <c r="K232" s="18">
        <v>0</v>
      </c>
      <c r="L232" s="19">
        <f>SUM(F232:K232)</f>
        <v>1275230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222874</v>
      </c>
      <c r="G233" s="18">
        <v>108828</v>
      </c>
      <c r="H233" s="18">
        <v>246158</v>
      </c>
      <c r="I233" s="18">
        <v>5723</v>
      </c>
      <c r="J233" s="18">
        <v>2251</v>
      </c>
      <c r="K233" s="18">
        <v>818</v>
      </c>
      <c r="L233" s="19">
        <f>SUM(F233:K233)</f>
        <v>586652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6861</v>
      </c>
      <c r="I234" s="18"/>
      <c r="J234" s="18"/>
      <c r="K234" s="18"/>
      <c r="L234" s="19">
        <f>SUM(F234:K234)</f>
        <v>6861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67903</v>
      </c>
      <c r="G235" s="18">
        <v>19167</v>
      </c>
      <c r="H235" s="18">
        <v>569</v>
      </c>
      <c r="I235" s="18">
        <v>31056</v>
      </c>
      <c r="J235" s="18"/>
      <c r="K235" s="18"/>
      <c r="L235" s="19">
        <f>SUM(F235:K235)</f>
        <v>118695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201884</v>
      </c>
      <c r="G237" s="18">
        <v>78587</v>
      </c>
      <c r="H237" s="18">
        <v>26962</v>
      </c>
      <c r="I237" s="18">
        <v>2108</v>
      </c>
      <c r="J237" s="18"/>
      <c r="K237" s="18">
        <v>0</v>
      </c>
      <c r="L237" s="19">
        <f t="shared" ref="L237:L243" si="4">SUM(F237:K237)</f>
        <v>309541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109362</v>
      </c>
      <c r="G238" s="18">
        <f>5437+40377</f>
        <v>45814</v>
      </c>
      <c r="H238" s="18">
        <v>19790</v>
      </c>
      <c r="I238" s="18">
        <f>20313+2482</f>
        <v>22795</v>
      </c>
      <c r="J238" s="18">
        <f>51359+36629</f>
        <v>87988</v>
      </c>
      <c r="K238" s="18">
        <v>0</v>
      </c>
      <c r="L238" s="19">
        <f t="shared" si="4"/>
        <v>285749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98402</v>
      </c>
      <c r="G239" s="18">
        <v>42726</v>
      </c>
      <c r="H239" s="18">
        <f>28608</f>
        <v>28608</v>
      </c>
      <c r="I239" s="18">
        <v>9899</v>
      </c>
      <c r="J239" s="18">
        <v>992</v>
      </c>
      <c r="K239" s="18">
        <v>3431</v>
      </c>
      <c r="L239" s="19">
        <f t="shared" si="4"/>
        <v>184058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136632</v>
      </c>
      <c r="G240" s="18">
        <v>68346</v>
      </c>
      <c r="H240" s="18">
        <v>4850</v>
      </c>
      <c r="I240" s="18">
        <v>8881</v>
      </c>
      <c r="J240" s="18">
        <v>0</v>
      </c>
      <c r="K240" s="18">
        <v>3108</v>
      </c>
      <c r="L240" s="19">
        <f t="shared" si="4"/>
        <v>221817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77154</v>
      </c>
      <c r="G242" s="18">
        <v>39487</v>
      </c>
      <c r="H242" s="18">
        <f>90422</f>
        <v>90422</v>
      </c>
      <c r="I242" s="18">
        <v>141808</v>
      </c>
      <c r="J242" s="18"/>
      <c r="K242" s="18">
        <v>1230</v>
      </c>
      <c r="L242" s="19">
        <f t="shared" si="4"/>
        <v>350101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20225</v>
      </c>
      <c r="G243" s="18">
        <v>9488</v>
      </c>
      <c r="H243" s="18">
        <v>38019</v>
      </c>
      <c r="I243" s="18">
        <v>12674</v>
      </c>
      <c r="J243" s="18"/>
      <c r="K243" s="18"/>
      <c r="L243" s="19">
        <f t="shared" si="4"/>
        <v>80406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1770253</v>
      </c>
      <c r="G246" s="41">
        <f t="shared" si="5"/>
        <v>790580</v>
      </c>
      <c r="H246" s="41">
        <f t="shared" si="5"/>
        <v>467627</v>
      </c>
      <c r="I246" s="41">
        <f t="shared" si="5"/>
        <v>281288</v>
      </c>
      <c r="J246" s="41">
        <f t="shared" si="5"/>
        <v>100775</v>
      </c>
      <c r="K246" s="41">
        <f t="shared" si="5"/>
        <v>8587</v>
      </c>
      <c r="L246" s="41">
        <f t="shared" si="5"/>
        <v>3419110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5347788</v>
      </c>
      <c r="G256" s="41">
        <f t="shared" si="8"/>
        <v>2367924</v>
      </c>
      <c r="H256" s="41">
        <f t="shared" si="8"/>
        <v>1337500</v>
      </c>
      <c r="I256" s="41">
        <f t="shared" si="8"/>
        <v>621641</v>
      </c>
      <c r="J256" s="41">
        <f t="shared" si="8"/>
        <v>262000</v>
      </c>
      <c r="K256" s="41">
        <f t="shared" si="8"/>
        <v>19830</v>
      </c>
      <c r="L256" s="41">
        <f t="shared" si="8"/>
        <v>9956683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270000</v>
      </c>
      <c r="L259" s="19">
        <f>SUM(F259:K259)</f>
        <v>270000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6421</v>
      </c>
      <c r="L260" s="19">
        <f>SUM(F260:K260)</f>
        <v>6421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125000</v>
      </c>
      <c r="L265" s="19">
        <f t="shared" si="9"/>
        <v>125000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401421</v>
      </c>
      <c r="L269" s="41">
        <f t="shared" si="9"/>
        <v>401421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5347788</v>
      </c>
      <c r="G270" s="42">
        <f t="shared" si="11"/>
        <v>2367924</v>
      </c>
      <c r="H270" s="42">
        <f t="shared" si="11"/>
        <v>1337500</v>
      </c>
      <c r="I270" s="42">
        <f t="shared" si="11"/>
        <v>621641</v>
      </c>
      <c r="J270" s="42">
        <f t="shared" si="11"/>
        <v>262000</v>
      </c>
      <c r="K270" s="42">
        <f t="shared" si="11"/>
        <v>421251</v>
      </c>
      <c r="L270" s="42">
        <f t="shared" si="11"/>
        <v>10358104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17547</v>
      </c>
      <c r="G275" s="18">
        <v>0</v>
      </c>
      <c r="H275" s="18">
        <v>6105</v>
      </c>
      <c r="I275" s="18">
        <v>1323</v>
      </c>
      <c r="J275" s="18">
        <v>1817</v>
      </c>
      <c r="K275" s="18"/>
      <c r="L275" s="19">
        <f>SUM(F275:K275)</f>
        <v>26792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549</v>
      </c>
      <c r="G276" s="18">
        <v>0</v>
      </c>
      <c r="H276" s="18">
        <v>9692</v>
      </c>
      <c r="I276" s="18">
        <v>253</v>
      </c>
      <c r="J276" s="18">
        <v>2037</v>
      </c>
      <c r="K276" s="18"/>
      <c r="L276" s="19">
        <f>SUM(F276:K276)</f>
        <v>12531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12540</v>
      </c>
      <c r="G280" s="18"/>
      <c r="H280" s="18">
        <v>161</v>
      </c>
      <c r="I280" s="18"/>
      <c r="J280" s="18"/>
      <c r="K280" s="18"/>
      <c r="L280" s="19">
        <f t="shared" ref="L280:L286" si="12">SUM(F280:K280)</f>
        <v>12701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30636</v>
      </c>
      <c r="G289" s="42">
        <f t="shared" si="13"/>
        <v>0</v>
      </c>
      <c r="H289" s="42">
        <f t="shared" si="13"/>
        <v>15958</v>
      </c>
      <c r="I289" s="42">
        <f t="shared" si="13"/>
        <v>1576</v>
      </c>
      <c r="J289" s="42">
        <f t="shared" si="13"/>
        <v>3854</v>
      </c>
      <c r="K289" s="42">
        <f t="shared" si="13"/>
        <v>0</v>
      </c>
      <c r="L289" s="41">
        <f t="shared" si="13"/>
        <v>52024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17547</v>
      </c>
      <c r="G294" s="18">
        <v>0</v>
      </c>
      <c r="H294" s="18">
        <v>6105</v>
      </c>
      <c r="I294" s="18">
        <v>1323</v>
      </c>
      <c r="J294" s="18">
        <v>1817</v>
      </c>
      <c r="K294" s="18"/>
      <c r="L294" s="19">
        <f>SUM(F294:K294)</f>
        <v>26792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549</v>
      </c>
      <c r="G295" s="18">
        <v>0</v>
      </c>
      <c r="H295" s="18">
        <v>9692</v>
      </c>
      <c r="I295" s="18">
        <v>253</v>
      </c>
      <c r="J295" s="18">
        <v>2037</v>
      </c>
      <c r="K295" s="18"/>
      <c r="L295" s="19">
        <f>SUM(F295:K295)</f>
        <v>12531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12540</v>
      </c>
      <c r="G299" s="18"/>
      <c r="H299" s="18">
        <v>161</v>
      </c>
      <c r="I299" s="18"/>
      <c r="J299" s="18"/>
      <c r="K299" s="18"/>
      <c r="L299" s="19">
        <f t="shared" ref="L299:L305" si="14">SUM(F299:K299)</f>
        <v>12701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30636</v>
      </c>
      <c r="G308" s="42">
        <f t="shared" si="15"/>
        <v>0</v>
      </c>
      <c r="H308" s="42">
        <f t="shared" si="15"/>
        <v>15958</v>
      </c>
      <c r="I308" s="42">
        <f t="shared" si="15"/>
        <v>1576</v>
      </c>
      <c r="J308" s="42">
        <f t="shared" si="15"/>
        <v>3854</v>
      </c>
      <c r="K308" s="42">
        <f t="shared" si="15"/>
        <v>0</v>
      </c>
      <c r="L308" s="41">
        <f t="shared" si="15"/>
        <v>52024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18079</v>
      </c>
      <c r="G313" s="18">
        <v>0</v>
      </c>
      <c r="H313" s="18">
        <v>6287</v>
      </c>
      <c r="I313" s="18">
        <v>1362</v>
      </c>
      <c r="J313" s="18">
        <v>1871</v>
      </c>
      <c r="K313" s="18"/>
      <c r="L313" s="19">
        <f>SUM(F313:K313)</f>
        <v>27599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566</v>
      </c>
      <c r="G314" s="18">
        <v>0</v>
      </c>
      <c r="H314" s="18">
        <v>9986</v>
      </c>
      <c r="I314" s="18">
        <v>261</v>
      </c>
      <c r="J314" s="18">
        <v>2099</v>
      </c>
      <c r="K314" s="18"/>
      <c r="L314" s="19">
        <f>SUM(F314:K314)</f>
        <v>12912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12920</v>
      </c>
      <c r="G318" s="18"/>
      <c r="H318" s="18">
        <v>167</v>
      </c>
      <c r="I318" s="18"/>
      <c r="J318" s="18"/>
      <c r="K318" s="18"/>
      <c r="L318" s="19">
        <f t="shared" ref="L318:L324" si="16">SUM(F318:K318)</f>
        <v>13087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31565</v>
      </c>
      <c r="G327" s="42">
        <f t="shared" si="17"/>
        <v>0</v>
      </c>
      <c r="H327" s="42">
        <f t="shared" si="17"/>
        <v>16440</v>
      </c>
      <c r="I327" s="42">
        <f t="shared" si="17"/>
        <v>1623</v>
      </c>
      <c r="J327" s="42">
        <f t="shared" si="17"/>
        <v>3970</v>
      </c>
      <c r="K327" s="42">
        <f t="shared" si="17"/>
        <v>0</v>
      </c>
      <c r="L327" s="41">
        <f t="shared" si="17"/>
        <v>53598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92837</v>
      </c>
      <c r="G337" s="41">
        <f t="shared" si="20"/>
        <v>0</v>
      </c>
      <c r="H337" s="41">
        <f t="shared" si="20"/>
        <v>48356</v>
      </c>
      <c r="I337" s="41">
        <f t="shared" si="20"/>
        <v>4775</v>
      </c>
      <c r="J337" s="41">
        <f t="shared" si="20"/>
        <v>11678</v>
      </c>
      <c r="K337" s="41">
        <f t="shared" si="20"/>
        <v>0</v>
      </c>
      <c r="L337" s="41">
        <f t="shared" si="20"/>
        <v>157646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92837</v>
      </c>
      <c r="G351" s="41">
        <f>G337</f>
        <v>0</v>
      </c>
      <c r="H351" s="41">
        <f>H337</f>
        <v>48356</v>
      </c>
      <c r="I351" s="41">
        <f>I337</f>
        <v>4775</v>
      </c>
      <c r="J351" s="41">
        <f>J337</f>
        <v>11678</v>
      </c>
      <c r="K351" s="47">
        <f>K337+K350</f>
        <v>0</v>
      </c>
      <c r="L351" s="41">
        <f>L337+L350</f>
        <v>157646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20387</v>
      </c>
      <c r="G357" s="18"/>
      <c r="H357" s="18">
        <v>2211</v>
      </c>
      <c r="I357" s="18">
        <v>19194</v>
      </c>
      <c r="J357" s="18"/>
      <c r="K357" s="18">
        <v>35</v>
      </c>
      <c r="L357" s="13">
        <f>SUM(F357:K357)</f>
        <v>41827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20387</v>
      </c>
      <c r="G358" s="18"/>
      <c r="H358" s="18">
        <v>2146</v>
      </c>
      <c r="I358" s="18">
        <v>19194</v>
      </c>
      <c r="J358" s="18"/>
      <c r="K358" s="18">
        <v>35</v>
      </c>
      <c r="L358" s="19">
        <f>SUM(F358:K358)</f>
        <v>41762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21005</v>
      </c>
      <c r="G359" s="18"/>
      <c r="H359" s="18">
        <v>2146</v>
      </c>
      <c r="I359" s="18">
        <v>19775</v>
      </c>
      <c r="J359" s="18"/>
      <c r="K359" s="18">
        <v>36</v>
      </c>
      <c r="L359" s="19">
        <f>SUM(F359:K359)</f>
        <v>42962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61779</v>
      </c>
      <c r="G361" s="47">
        <f t="shared" si="22"/>
        <v>0</v>
      </c>
      <c r="H361" s="47">
        <f t="shared" si="22"/>
        <v>6503</v>
      </c>
      <c r="I361" s="47">
        <f t="shared" si="22"/>
        <v>58163</v>
      </c>
      <c r="J361" s="47">
        <f t="shared" si="22"/>
        <v>0</v>
      </c>
      <c r="K361" s="47">
        <f t="shared" si="22"/>
        <v>106</v>
      </c>
      <c r="L361" s="47">
        <f t="shared" si="22"/>
        <v>126551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19701</v>
      </c>
      <c r="G366" s="18">
        <v>19194</v>
      </c>
      <c r="H366" s="18">
        <v>19196</v>
      </c>
      <c r="I366" s="56">
        <f>SUM(F366:H366)</f>
        <v>58091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72</v>
      </c>
      <c r="G367" s="63"/>
      <c r="H367" s="63"/>
      <c r="I367" s="56">
        <f>SUM(F367:H367)</f>
        <v>72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19773</v>
      </c>
      <c r="G368" s="47">
        <f>SUM(G366:G367)</f>
        <v>19194</v>
      </c>
      <c r="H368" s="47">
        <f>SUM(H366:H367)</f>
        <v>19196</v>
      </c>
      <c r="I368" s="47">
        <f>SUM(I366:I367)</f>
        <v>58163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>
        <v>2341</v>
      </c>
      <c r="I375" s="18"/>
      <c r="J375" s="18"/>
      <c r="K375" s="18"/>
      <c r="L375" s="13">
        <f t="shared" si="23"/>
        <v>2341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>
        <v>81006</v>
      </c>
      <c r="I378" s="18"/>
      <c r="J378" s="18"/>
      <c r="K378" s="18"/>
      <c r="L378" s="13">
        <f t="shared" si="23"/>
        <v>81006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83347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83347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100000</v>
      </c>
      <c r="H395" s="18">
        <v>236</v>
      </c>
      <c r="I395" s="18"/>
      <c r="J395" s="24" t="s">
        <v>289</v>
      </c>
      <c r="K395" s="24" t="s">
        <v>289</v>
      </c>
      <c r="L395" s="56">
        <f t="shared" si="26"/>
        <v>100236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25000</v>
      </c>
      <c r="H396" s="18">
        <v>185</v>
      </c>
      <c r="I396" s="18"/>
      <c r="J396" s="24" t="s">
        <v>289</v>
      </c>
      <c r="K396" s="24" t="s">
        <v>289</v>
      </c>
      <c r="L396" s="56">
        <f t="shared" si="26"/>
        <v>25185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v>82</v>
      </c>
      <c r="I399" s="18">
        <v>4167</v>
      </c>
      <c r="J399" s="24" t="s">
        <v>289</v>
      </c>
      <c r="K399" s="24" t="s">
        <v>289</v>
      </c>
      <c r="L399" s="56">
        <f t="shared" si="26"/>
        <v>4249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125000</v>
      </c>
      <c r="H400" s="47">
        <f>SUM(H394:H399)</f>
        <v>503</v>
      </c>
      <c r="I400" s="47">
        <f>SUM(I394:I399)</f>
        <v>4167</v>
      </c>
      <c r="J400" s="45" t="s">
        <v>289</v>
      </c>
      <c r="K400" s="45" t="s">
        <v>289</v>
      </c>
      <c r="L400" s="47">
        <f>SUM(L394:L399)</f>
        <v>129670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125000</v>
      </c>
      <c r="H407" s="47">
        <f>H392+H400+H406</f>
        <v>503</v>
      </c>
      <c r="I407" s="47">
        <f>I392+I400+I406</f>
        <v>4167</v>
      </c>
      <c r="J407" s="24" t="s">
        <v>289</v>
      </c>
      <c r="K407" s="24" t="s">
        <v>289</v>
      </c>
      <c r="L407" s="47">
        <f>L392+L400+L406</f>
        <v>129670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>
        <v>184347</v>
      </c>
      <c r="L421" s="56">
        <f t="shared" si="29"/>
        <v>184347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>
        <v>2025</v>
      </c>
      <c r="I425" s="18"/>
      <c r="J425" s="18"/>
      <c r="K425" s="18"/>
      <c r="L425" s="56">
        <f t="shared" si="29"/>
        <v>2025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2025</v>
      </c>
      <c r="I426" s="47">
        <f t="shared" si="30"/>
        <v>0</v>
      </c>
      <c r="J426" s="47">
        <f t="shared" si="30"/>
        <v>0</v>
      </c>
      <c r="K426" s="47">
        <f t="shared" si="30"/>
        <v>184347</v>
      </c>
      <c r="L426" s="47">
        <f t="shared" si="30"/>
        <v>186372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2025</v>
      </c>
      <c r="I433" s="47">
        <f t="shared" si="32"/>
        <v>0</v>
      </c>
      <c r="J433" s="47">
        <f t="shared" si="32"/>
        <v>0</v>
      </c>
      <c r="K433" s="47">
        <f t="shared" si="32"/>
        <v>184347</v>
      </c>
      <c r="L433" s="47">
        <f t="shared" si="32"/>
        <v>186372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342838</v>
      </c>
      <c r="G439" s="18">
        <v>377673</v>
      </c>
      <c r="H439" s="18"/>
      <c r="I439" s="56">
        <f t="shared" si="33"/>
        <v>720511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342838</v>
      </c>
      <c r="G445" s="13">
        <f>SUM(G438:G444)</f>
        <v>377673</v>
      </c>
      <c r="H445" s="13">
        <f>SUM(H438:H444)</f>
        <v>0</v>
      </c>
      <c r="I445" s="13">
        <f>SUM(I438:I444)</f>
        <v>720511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>
        <v>154547</v>
      </c>
      <c r="G447" s="18"/>
      <c r="H447" s="18"/>
      <c r="I447" s="56">
        <f>SUM(F447:H447)</f>
        <v>154547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154547</v>
      </c>
      <c r="G451" s="72">
        <f>SUM(G447:G450)</f>
        <v>0</v>
      </c>
      <c r="H451" s="72">
        <f>SUM(H447:H450)</f>
        <v>0</v>
      </c>
      <c r="I451" s="72">
        <f>SUM(I447:I450)</f>
        <v>154547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188291</v>
      </c>
      <c r="G458" s="18">
        <v>377673</v>
      </c>
      <c r="H458" s="18"/>
      <c r="I458" s="56">
        <f t="shared" si="34"/>
        <v>565964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188291</v>
      </c>
      <c r="G459" s="83">
        <f>SUM(G453:G458)</f>
        <v>377673</v>
      </c>
      <c r="H459" s="83">
        <f>SUM(H453:H458)</f>
        <v>0</v>
      </c>
      <c r="I459" s="83">
        <f>SUM(I453:I458)</f>
        <v>565964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342838</v>
      </c>
      <c r="G460" s="42">
        <f>G451+G459</f>
        <v>377673</v>
      </c>
      <c r="H460" s="42">
        <f>H451+H459</f>
        <v>0</v>
      </c>
      <c r="I460" s="42">
        <f>I451+I459</f>
        <v>720511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489446</v>
      </c>
      <c r="G464" s="18">
        <f>49473-3258</f>
        <v>46215</v>
      </c>
      <c r="H464" s="18"/>
      <c r="I464" s="18">
        <v>0</v>
      </c>
      <c r="J464" s="18">
        <f>604866</f>
        <v>604866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10474134</v>
      </c>
      <c r="G467" s="18">
        <f>G192</f>
        <v>113054</v>
      </c>
      <c r="H467" s="18">
        <f>H192</f>
        <v>157646</v>
      </c>
      <c r="I467" s="18">
        <f>I192</f>
        <v>83347</v>
      </c>
      <c r="J467" s="18">
        <f>L407</f>
        <v>129670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>
        <v>17800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10474134</v>
      </c>
      <c r="G469" s="53">
        <f>SUM(G467:G468)</f>
        <v>113054</v>
      </c>
      <c r="H469" s="53">
        <f>SUM(H467:H468)</f>
        <v>157646</v>
      </c>
      <c r="I469" s="53">
        <f>SUM(I467:I468)</f>
        <v>83347</v>
      </c>
      <c r="J469" s="53">
        <f>SUM(J467:J468)</f>
        <v>147470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10358104</v>
      </c>
      <c r="G471" s="18">
        <f>L361</f>
        <v>126551</v>
      </c>
      <c r="H471" s="18">
        <f>L351</f>
        <v>157646</v>
      </c>
      <c r="I471" s="18">
        <f>L381</f>
        <v>83347</v>
      </c>
      <c r="J471" s="18">
        <f>L433</f>
        <v>186372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10358104</v>
      </c>
      <c r="G473" s="53">
        <f>SUM(G471:G472)</f>
        <v>126551</v>
      </c>
      <c r="H473" s="53">
        <f>SUM(H471:H472)</f>
        <v>157646</v>
      </c>
      <c r="I473" s="53">
        <f>SUM(I471:I472)</f>
        <v>83347</v>
      </c>
      <c r="J473" s="53">
        <f>SUM(J471:J472)</f>
        <v>186372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605476</v>
      </c>
      <c r="G475" s="53">
        <f>(G464+G469)- G473</f>
        <v>32718</v>
      </c>
      <c r="H475" s="53">
        <f>(H464+H469)- H473</f>
        <v>0</v>
      </c>
      <c r="I475" s="53">
        <f>(I464+I469)- I473</f>
        <v>0</v>
      </c>
      <c r="J475" s="53">
        <f>(J464+J469)- J473</f>
        <v>565964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 t="s">
        <v>911</v>
      </c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15</v>
      </c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4054000</v>
      </c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4.7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270000</v>
      </c>
      <c r="G494" s="18"/>
      <c r="H494" s="18"/>
      <c r="I494" s="18"/>
      <c r="J494" s="18"/>
      <c r="K494" s="53">
        <f>SUM(F494:J494)</f>
        <v>270000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270000</v>
      </c>
      <c r="G496" s="18"/>
      <c r="H496" s="18"/>
      <c r="I496" s="18"/>
      <c r="J496" s="18"/>
      <c r="K496" s="53">
        <f t="shared" si="35"/>
        <v>270000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0</v>
      </c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0</v>
      </c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0</v>
      </c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0</v>
      </c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341423+549</f>
        <v>341972</v>
      </c>
      <c r="G520" s="18">
        <v>103493</v>
      </c>
      <c r="H520" s="18">
        <f>15256+9692</f>
        <v>24948</v>
      </c>
      <c r="I520" s="18">
        <f>4911+253</f>
        <v>5164</v>
      </c>
      <c r="J520" s="18">
        <f>1556+2037</f>
        <v>3593</v>
      </c>
      <c r="K520" s="18">
        <f>794</f>
        <v>794</v>
      </c>
      <c r="L520" s="88">
        <f>SUM(F520:K520)</f>
        <v>479964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>172882+549</f>
        <v>173431</v>
      </c>
      <c r="G521" s="18">
        <v>100293</v>
      </c>
      <c r="H521" s="18">
        <f>201315+9692</f>
        <v>211007</v>
      </c>
      <c r="I521" s="18">
        <f>4144+253</f>
        <v>4397</v>
      </c>
      <c r="J521" s="18">
        <f>1630+2037</f>
        <v>3667</v>
      </c>
      <c r="K521" s="18">
        <v>794</v>
      </c>
      <c r="L521" s="88">
        <f>SUM(F521:K521)</f>
        <v>493589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222874+566</f>
        <v>223440</v>
      </c>
      <c r="G522" s="18">
        <v>100293</v>
      </c>
      <c r="H522" s="18">
        <f>207415+9986</f>
        <v>217401</v>
      </c>
      <c r="I522" s="18">
        <f>5723+261</f>
        <v>5984</v>
      </c>
      <c r="J522" s="18">
        <f>2251+2099</f>
        <v>4350</v>
      </c>
      <c r="K522" s="18">
        <v>818</v>
      </c>
      <c r="L522" s="88">
        <f>SUM(F522:K522)</f>
        <v>552286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738843</v>
      </c>
      <c r="G523" s="108">
        <f t="shared" ref="G523:L523" si="36">SUM(G520:G522)</f>
        <v>304079</v>
      </c>
      <c r="H523" s="108">
        <f t="shared" si="36"/>
        <v>453356</v>
      </c>
      <c r="I523" s="108">
        <f t="shared" si="36"/>
        <v>15545</v>
      </c>
      <c r="J523" s="108">
        <f t="shared" si="36"/>
        <v>11610</v>
      </c>
      <c r="K523" s="108">
        <f t="shared" si="36"/>
        <v>2406</v>
      </c>
      <c r="L523" s="89">
        <f t="shared" si="36"/>
        <v>1525839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21309+20386+17314+12540</f>
        <v>71549</v>
      </c>
      <c r="G525" s="18">
        <v>78587</v>
      </c>
      <c r="H525" s="18">
        <f>4885+10316+8156+205</f>
        <v>23562</v>
      </c>
      <c r="I525" s="18">
        <f>524+246+432</f>
        <v>1202</v>
      </c>
      <c r="J525" s="18"/>
      <c r="K525" s="18"/>
      <c r="L525" s="88">
        <f>SUM(F525:K525)</f>
        <v>174900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f>21309+20386+17314+12540</f>
        <v>71549</v>
      </c>
      <c r="G526" s="18">
        <v>76276</v>
      </c>
      <c r="H526" s="18">
        <f>4885+10316+8156+205</f>
        <v>23562</v>
      </c>
      <c r="I526" s="18">
        <f>524+246+432</f>
        <v>1202</v>
      </c>
      <c r="J526" s="18"/>
      <c r="K526" s="18"/>
      <c r="L526" s="88">
        <f>SUM(F526:K526)</f>
        <v>172589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f>21954+21004+17839+12920</f>
        <v>73717</v>
      </c>
      <c r="G527" s="18">
        <v>76276</v>
      </c>
      <c r="H527" s="18">
        <f>5033+10628+8403+211</f>
        <v>24275</v>
      </c>
      <c r="I527" s="18">
        <f>540+254+445</f>
        <v>1239</v>
      </c>
      <c r="J527" s="18"/>
      <c r="K527" s="18"/>
      <c r="L527" s="88">
        <f>SUM(F527:K527)</f>
        <v>175507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216815</v>
      </c>
      <c r="G528" s="89">
        <f t="shared" ref="G528:L528" si="37">SUM(G525:G527)</f>
        <v>231139</v>
      </c>
      <c r="H528" s="89">
        <f t="shared" si="37"/>
        <v>71399</v>
      </c>
      <c r="I528" s="89">
        <f t="shared" si="37"/>
        <v>3643</v>
      </c>
      <c r="J528" s="89">
        <f t="shared" si="37"/>
        <v>0</v>
      </c>
      <c r="K528" s="89">
        <f t="shared" si="37"/>
        <v>0</v>
      </c>
      <c r="L528" s="89">
        <f t="shared" si="37"/>
        <v>522996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33000</v>
      </c>
      <c r="G530" s="18">
        <v>5334</v>
      </c>
      <c r="H530" s="18"/>
      <c r="I530" s="18"/>
      <c r="J530" s="18"/>
      <c r="K530" s="18"/>
      <c r="L530" s="88">
        <f>SUM(F530:K530)</f>
        <v>38334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33000</v>
      </c>
      <c r="G531" s="18">
        <v>5335</v>
      </c>
      <c r="H531" s="18"/>
      <c r="I531" s="18"/>
      <c r="J531" s="18"/>
      <c r="K531" s="18"/>
      <c r="L531" s="88">
        <f>SUM(F531:K531)</f>
        <v>38335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34000</v>
      </c>
      <c r="G532" s="18">
        <v>5335</v>
      </c>
      <c r="H532" s="18"/>
      <c r="I532" s="18"/>
      <c r="J532" s="18"/>
      <c r="K532" s="18"/>
      <c r="L532" s="88">
        <f>SUM(F532:K532)</f>
        <v>39335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100000</v>
      </c>
      <c r="G533" s="89">
        <f t="shared" ref="G533:L533" si="38">SUM(G530:G532)</f>
        <v>16004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116004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2947</v>
      </c>
      <c r="I535" s="18"/>
      <c r="J535" s="18"/>
      <c r="K535" s="18"/>
      <c r="L535" s="88">
        <f>SUM(F535:K535)</f>
        <v>2947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2947</v>
      </c>
      <c r="I536" s="18"/>
      <c r="J536" s="18"/>
      <c r="K536" s="18"/>
      <c r="L536" s="88">
        <f>SUM(F536:K536)</f>
        <v>2947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3036</v>
      </c>
      <c r="I537" s="18"/>
      <c r="J537" s="18"/>
      <c r="K537" s="18"/>
      <c r="L537" s="88">
        <f>SUM(F537:K537)</f>
        <v>3036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8930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8930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101875</v>
      </c>
      <c r="G540" s="18">
        <v>7794</v>
      </c>
      <c r="H540" s="18">
        <v>99134</v>
      </c>
      <c r="I540" s="18">
        <v>12426</v>
      </c>
      <c r="J540" s="18">
        <v>17942</v>
      </c>
      <c r="K540" s="18">
        <v>248</v>
      </c>
      <c r="L540" s="88">
        <f>SUM(F540:K540)</f>
        <v>239419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>
        <v>27581</v>
      </c>
      <c r="G541" s="18">
        <v>2110</v>
      </c>
      <c r="H541" s="18">
        <v>33438</v>
      </c>
      <c r="I541" s="18">
        <v>12425</v>
      </c>
      <c r="J541" s="18">
        <v>17942</v>
      </c>
      <c r="K541" s="18">
        <v>248</v>
      </c>
      <c r="L541" s="88">
        <f>SUM(F541:K541)</f>
        <v>93744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v>30476</v>
      </c>
      <c r="G542" s="18">
        <v>2331</v>
      </c>
      <c r="H542" s="18">
        <v>33437</v>
      </c>
      <c r="I542" s="18">
        <v>12425</v>
      </c>
      <c r="J542" s="18">
        <v>17942</v>
      </c>
      <c r="K542" s="18">
        <v>248</v>
      </c>
      <c r="L542" s="88">
        <f>SUM(F542:K542)</f>
        <v>96859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159932</v>
      </c>
      <c r="G543" s="193">
        <f t="shared" ref="G543:L543" si="40">SUM(G540:G542)</f>
        <v>12235</v>
      </c>
      <c r="H543" s="193">
        <f t="shared" si="40"/>
        <v>166009</v>
      </c>
      <c r="I543" s="193">
        <f t="shared" si="40"/>
        <v>37276</v>
      </c>
      <c r="J543" s="193">
        <f t="shared" si="40"/>
        <v>53826</v>
      </c>
      <c r="K543" s="193">
        <f t="shared" si="40"/>
        <v>744</v>
      </c>
      <c r="L543" s="193">
        <f t="shared" si="40"/>
        <v>430022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1215590</v>
      </c>
      <c r="G544" s="89">
        <f t="shared" ref="G544:L544" si="41">G523+G528+G533+G538+G543</f>
        <v>563457</v>
      </c>
      <c r="H544" s="89">
        <f t="shared" si="41"/>
        <v>699694</v>
      </c>
      <c r="I544" s="89">
        <f t="shared" si="41"/>
        <v>56464</v>
      </c>
      <c r="J544" s="89">
        <f t="shared" si="41"/>
        <v>65436</v>
      </c>
      <c r="K544" s="89">
        <f t="shared" si="41"/>
        <v>3150</v>
      </c>
      <c r="L544" s="89">
        <f t="shared" si="41"/>
        <v>2603791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479964</v>
      </c>
      <c r="G548" s="87">
        <f>L525</f>
        <v>174900</v>
      </c>
      <c r="H548" s="87">
        <f>L530</f>
        <v>38334</v>
      </c>
      <c r="I548" s="87">
        <f>L535</f>
        <v>2947</v>
      </c>
      <c r="J548" s="87">
        <f>L540</f>
        <v>239419</v>
      </c>
      <c r="K548" s="87">
        <f>SUM(F548:J548)</f>
        <v>935564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493589</v>
      </c>
      <c r="G549" s="87">
        <f>L526</f>
        <v>172589</v>
      </c>
      <c r="H549" s="87">
        <f>L531</f>
        <v>38335</v>
      </c>
      <c r="I549" s="87">
        <f>L536</f>
        <v>2947</v>
      </c>
      <c r="J549" s="87">
        <f>L541</f>
        <v>93744</v>
      </c>
      <c r="K549" s="87">
        <f>SUM(F549:J549)</f>
        <v>801204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552286</v>
      </c>
      <c r="G550" s="87">
        <f>L527</f>
        <v>175507</v>
      </c>
      <c r="H550" s="87">
        <f>L532</f>
        <v>39335</v>
      </c>
      <c r="I550" s="87">
        <f>L537</f>
        <v>3036</v>
      </c>
      <c r="J550" s="87">
        <f>L542</f>
        <v>96859</v>
      </c>
      <c r="K550" s="87">
        <f>SUM(F550:J550)</f>
        <v>867023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1525839</v>
      </c>
      <c r="G551" s="89">
        <f t="shared" si="42"/>
        <v>522996</v>
      </c>
      <c r="H551" s="89">
        <f t="shared" si="42"/>
        <v>116004</v>
      </c>
      <c r="I551" s="89">
        <f t="shared" si="42"/>
        <v>8930</v>
      </c>
      <c r="J551" s="89">
        <f t="shared" si="42"/>
        <v>430022</v>
      </c>
      <c r="K551" s="89">
        <f t="shared" si="42"/>
        <v>2603791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199947</v>
      </c>
      <c r="G581" s="18">
        <v>201315</v>
      </c>
      <c r="H581" s="18">
        <v>223000</v>
      </c>
      <c r="I581" s="87">
        <f t="shared" si="47"/>
        <v>624262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>
        <v>3167</v>
      </c>
      <c r="G583" s="18">
        <v>2111</v>
      </c>
      <c r="H583" s="18">
        <v>6452</v>
      </c>
      <c r="I583" s="87">
        <f t="shared" si="47"/>
        <v>11730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116618+66409+99079+12301-3644</f>
        <v>290763</v>
      </c>
      <c r="I590" s="18">
        <f>40450+18974+28910+12301</f>
        <v>100635</v>
      </c>
      <c r="J590" s="18">
        <f>20225+9488</f>
        <v>29713</v>
      </c>
      <c r="K590" s="104">
        <f t="shared" ref="K590:K596" si="48">SUM(H590:J590)</f>
        <v>421111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24955</v>
      </c>
      <c r="I591" s="18">
        <v>0</v>
      </c>
      <c r="J591" s="18">
        <v>17060</v>
      </c>
      <c r="K591" s="104">
        <f t="shared" si="48"/>
        <v>42015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12294</v>
      </c>
      <c r="K592" s="104">
        <f t="shared" si="48"/>
        <v>12294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>
        <v>16826</v>
      </c>
      <c r="K593" s="104">
        <f t="shared" si="48"/>
        <v>16826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3644</v>
      </c>
      <c r="I594" s="18">
        <v>0</v>
      </c>
      <c r="J594" s="18">
        <v>4513</v>
      </c>
      <c r="K594" s="104">
        <f t="shared" si="48"/>
        <v>8157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319362</v>
      </c>
      <c r="I597" s="108">
        <f>SUM(I590:I596)</f>
        <v>100635</v>
      </c>
      <c r="J597" s="108">
        <f>SUM(J590:J596)</f>
        <v>80406</v>
      </c>
      <c r="K597" s="108">
        <f>SUM(K590:K596)</f>
        <v>500403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J210+J289</f>
        <v>82373</v>
      </c>
      <c r="I603" s="18">
        <f>J228+J308</f>
        <v>86560</v>
      </c>
      <c r="J603" s="18">
        <f>J246+J327</f>
        <v>104745</v>
      </c>
      <c r="K603" s="104">
        <f>SUM(H603:J603)</f>
        <v>273678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82373</v>
      </c>
      <c r="I604" s="108">
        <f>SUM(I601:I603)</f>
        <v>86560</v>
      </c>
      <c r="J604" s="108">
        <f>SUM(J601:J603)</f>
        <v>104745</v>
      </c>
      <c r="K604" s="108">
        <f>SUM(K601:K603)</f>
        <v>273678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605476</v>
      </c>
      <c r="H616" s="109">
        <f>SUM(F51)</f>
        <v>605476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32718</v>
      </c>
      <c r="H617" s="109">
        <f>SUM(G51)</f>
        <v>32718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76065</v>
      </c>
      <c r="H618" s="109">
        <f>SUM(H51)</f>
        <v>76065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83347</v>
      </c>
      <c r="H619" s="109">
        <f>SUM(I51)</f>
        <v>83347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720511</v>
      </c>
      <c r="H620" s="109">
        <f>SUM(J51)</f>
        <v>720511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605476</v>
      </c>
      <c r="H621" s="109">
        <f>F475</f>
        <v>605476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32718</v>
      </c>
      <c r="H622" s="109">
        <f>G475</f>
        <v>32718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565964</v>
      </c>
      <c r="H625" s="109">
        <f>J475</f>
        <v>565964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10474134</v>
      </c>
      <c r="H626" s="104">
        <f>SUM(F467)</f>
        <v>10474134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113054</v>
      </c>
      <c r="H627" s="104">
        <f>SUM(G467)</f>
        <v>113054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157646</v>
      </c>
      <c r="H628" s="104">
        <f>SUM(H467)</f>
        <v>157646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83347</v>
      </c>
      <c r="H629" s="104">
        <f>SUM(I467)</f>
        <v>83347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129670</v>
      </c>
      <c r="H630" s="104">
        <f>SUM(J467)</f>
        <v>129670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10358104</v>
      </c>
      <c r="H631" s="104">
        <f>SUM(F471)</f>
        <v>10358104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157646</v>
      </c>
      <c r="H632" s="104">
        <f>SUM(H471)</f>
        <v>157646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58163</v>
      </c>
      <c r="H633" s="104">
        <f>I368</f>
        <v>58163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126551</v>
      </c>
      <c r="H634" s="104">
        <f>SUM(G471)</f>
        <v>126551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83347</v>
      </c>
      <c r="H635" s="104">
        <f>SUM(I471)</f>
        <v>83347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129670</v>
      </c>
      <c r="H636" s="164">
        <f>SUM(J467)</f>
        <v>129670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186372</v>
      </c>
      <c r="H637" s="164">
        <f>SUM(J471)</f>
        <v>186372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342838</v>
      </c>
      <c r="H638" s="104">
        <f>SUM(F460)</f>
        <v>342838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377673</v>
      </c>
      <c r="H639" s="104">
        <f>SUM(G460)</f>
        <v>377673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720511</v>
      </c>
      <c r="H641" s="104">
        <f>SUM(I460)</f>
        <v>720511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503</v>
      </c>
      <c r="H643" s="104">
        <f>H407</f>
        <v>503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125000</v>
      </c>
      <c r="H644" s="104">
        <f>G407</f>
        <v>125000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129670</v>
      </c>
      <c r="H645" s="104">
        <f>L407</f>
        <v>129670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500403</v>
      </c>
      <c r="H646" s="104">
        <f>L207+L225+L243</f>
        <v>500403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273678</v>
      </c>
      <c r="H647" s="104">
        <f>(J256+J337)-(J254+J335)</f>
        <v>273678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319362</v>
      </c>
      <c r="H648" s="104">
        <f>H597</f>
        <v>319362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100635</v>
      </c>
      <c r="H649" s="104">
        <f>I597</f>
        <v>100635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80406</v>
      </c>
      <c r="H650" s="104">
        <f>J597</f>
        <v>80406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125000</v>
      </c>
      <c r="H654" s="104">
        <f>K265+K346</f>
        <v>125000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3749841</v>
      </c>
      <c r="G659" s="19">
        <f>(L228+L308+L358)</f>
        <v>2975369</v>
      </c>
      <c r="H659" s="19">
        <f>(L246+L327+L359)</f>
        <v>3515670</v>
      </c>
      <c r="I659" s="19">
        <f>SUM(F659:H659)</f>
        <v>10240880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23090.106336575765</v>
      </c>
      <c r="G660" s="19">
        <f>(L358/IF(SUM(L357:L359)=0,1,SUM(L357:L359))*(SUM(G96:G109)))</f>
        <v>23054.223846512472</v>
      </c>
      <c r="H660" s="19">
        <f>(L359/IF(SUM(L357:L359)=0,1,SUM(L357:L359))*(SUM(G96:G109)))</f>
        <v>23716.669816911759</v>
      </c>
      <c r="I660" s="19">
        <f>SUM(F660:H660)</f>
        <v>69861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319362</v>
      </c>
      <c r="G661" s="19">
        <f>(L225+L305)-(J225+J305)</f>
        <v>100635</v>
      </c>
      <c r="H661" s="19">
        <f>(L243+L324)-(J243+J324)</f>
        <v>80406</v>
      </c>
      <c r="I661" s="19">
        <f>SUM(F661:H661)</f>
        <v>500403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285487</v>
      </c>
      <c r="G662" s="199">
        <f>SUM(G574:G586)+SUM(I601:I603)+L611</f>
        <v>289986</v>
      </c>
      <c r="H662" s="199">
        <f>SUM(H574:H586)+SUM(J601:J603)+L612</f>
        <v>334197</v>
      </c>
      <c r="I662" s="19">
        <f>SUM(F662:H662)</f>
        <v>909670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3121901.8936634241</v>
      </c>
      <c r="G663" s="19">
        <f>G659-SUM(G660:G662)</f>
        <v>2561693.7761534876</v>
      </c>
      <c r="H663" s="19">
        <f>H659-SUM(H660:H662)</f>
        <v>3077350.3301830883</v>
      </c>
      <c r="I663" s="19">
        <f>I659-SUM(I660:I662)</f>
        <v>8760946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180.98</v>
      </c>
      <c r="G664" s="248">
        <v>99.41</v>
      </c>
      <c r="H664" s="248">
        <v>138.9</v>
      </c>
      <c r="I664" s="19">
        <f>SUM(F664:H664)</f>
        <v>419.28999999999996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17249.98</v>
      </c>
      <c r="G666" s="19">
        <f>ROUND(G663/G664,2)</f>
        <v>25768.97</v>
      </c>
      <c r="H666" s="19">
        <f>ROUND(H663/H664,2)</f>
        <v>22155.15</v>
      </c>
      <c r="I666" s="19">
        <f>ROUND(I663/I664,2)</f>
        <v>20894.72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-1.1399999999999999</v>
      </c>
      <c r="I669" s="19">
        <f>SUM(F669:H669)</f>
        <v>-1.1399999999999999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17249.98</v>
      </c>
      <c r="G671" s="19">
        <f>ROUND((G663+G668)/(G664+G669),2)</f>
        <v>25768.97</v>
      </c>
      <c r="H671" s="19">
        <f>ROUND((H663+H668)/(H664+H669),2)</f>
        <v>22338.49</v>
      </c>
      <c r="I671" s="19">
        <f>ROUND((I663+I668)/(I664+I669),2)</f>
        <v>20951.68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headings="1" gridLines="1" gridLinesSet="0"/>
  <pageMargins left="0" right="0" top="0.75" bottom="0.75" header="0.5" footer="0.5"/>
  <pageSetup scale="85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11" sqref="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Sunapee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2506011</v>
      </c>
      <c r="C9" s="229">
        <f>'DOE25'!G196+'DOE25'!G214+'DOE25'!G232+'DOE25'!G275+'DOE25'!G294+'DOE25'!G313</f>
        <v>1081053</v>
      </c>
    </row>
    <row r="10" spans="1:3" x14ac:dyDescent="0.2">
      <c r="A10" t="s">
        <v>779</v>
      </c>
      <c r="B10" s="240">
        <v>2425164</v>
      </c>
      <c r="C10" s="240">
        <f>852019+16029</f>
        <v>868048</v>
      </c>
    </row>
    <row r="11" spans="1:3" x14ac:dyDescent="0.2">
      <c r="A11" t="s">
        <v>780</v>
      </c>
      <c r="B11" s="240">
        <v>34764</v>
      </c>
      <c r="C11" s="240">
        <v>159754</v>
      </c>
    </row>
    <row r="12" spans="1:3" x14ac:dyDescent="0.2">
      <c r="A12" t="s">
        <v>781</v>
      </c>
      <c r="B12" s="240">
        <v>46083</v>
      </c>
      <c r="C12" s="240">
        <v>53251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2506011</v>
      </c>
      <c r="C13" s="231">
        <f>SUM(C10:C12)</f>
        <v>1081053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738843</v>
      </c>
      <c r="C18" s="229">
        <f>'DOE25'!G197+'DOE25'!G215+'DOE25'!G233+'DOE25'!G276+'DOE25'!G295+'DOE25'!G314</f>
        <v>320084</v>
      </c>
    </row>
    <row r="19" spans="1:3" x14ac:dyDescent="0.2">
      <c r="A19" t="s">
        <v>779</v>
      </c>
      <c r="B19" s="240">
        <v>447604</v>
      </c>
      <c r="C19" s="240">
        <v>256067</v>
      </c>
    </row>
    <row r="20" spans="1:3" x14ac:dyDescent="0.2">
      <c r="A20" t="s">
        <v>780</v>
      </c>
      <c r="B20" s="240">
        <v>254111</v>
      </c>
      <c r="C20" s="240">
        <v>48013</v>
      </c>
    </row>
    <row r="21" spans="1:3" x14ac:dyDescent="0.2">
      <c r="A21" t="s">
        <v>781</v>
      </c>
      <c r="B21" s="240">
        <v>37128</v>
      </c>
      <c r="C21" s="240">
        <v>16004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738843</v>
      </c>
      <c r="C22" s="231">
        <f>SUM(C19:C21)</f>
        <v>320084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129834</v>
      </c>
      <c r="C36" s="235">
        <f>'DOE25'!G199+'DOE25'!G217+'DOE25'!G235+'DOE25'!G278+'DOE25'!G297+'DOE25'!G316</f>
        <v>56373</v>
      </c>
    </row>
    <row r="37" spans="1:3" x14ac:dyDescent="0.2">
      <c r="A37" t="s">
        <v>779</v>
      </c>
      <c r="B37" s="240">
        <v>129834</v>
      </c>
      <c r="C37" s="240">
        <v>56373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129834</v>
      </c>
      <c r="C40" s="231">
        <f>SUM(C37:C39)</f>
        <v>56373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17" activePane="bottomLeft" state="frozen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Sunapee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5683577</v>
      </c>
      <c r="D5" s="20">
        <f>SUM('DOE25'!L196:L199)+SUM('DOE25'!L214:L217)+SUM('DOE25'!L232:L235)-F5-G5</f>
        <v>5656775</v>
      </c>
      <c r="E5" s="243"/>
      <c r="F5" s="255">
        <f>SUM('DOE25'!J196:J199)+SUM('DOE25'!J214:J217)+SUM('DOE25'!J232:J235)</f>
        <v>24396</v>
      </c>
      <c r="G5" s="53">
        <f>SUM('DOE25'!K196:K199)+SUM('DOE25'!K214:K217)+SUM('DOE25'!K232:K235)</f>
        <v>2406</v>
      </c>
      <c r="H5" s="259"/>
    </row>
    <row r="6" spans="1:9" x14ac:dyDescent="0.2">
      <c r="A6" s="32">
        <v>2100</v>
      </c>
      <c r="B6" t="s">
        <v>801</v>
      </c>
      <c r="C6" s="245">
        <f t="shared" si="0"/>
        <v>847504</v>
      </c>
      <c r="D6" s="20">
        <f>'DOE25'!L201+'DOE25'!L219+'DOE25'!L237-F6-G6</f>
        <v>847504</v>
      </c>
      <c r="E6" s="243"/>
      <c r="F6" s="255">
        <f>'DOE25'!J201+'DOE25'!J219+'DOE25'!J237</f>
        <v>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745217</v>
      </c>
      <c r="D7" s="20">
        <f>'DOE25'!L202+'DOE25'!L220+'DOE25'!L238-F7-G7</f>
        <v>510529</v>
      </c>
      <c r="E7" s="243"/>
      <c r="F7" s="255">
        <f>'DOE25'!J202+'DOE25'!J220+'DOE25'!J238</f>
        <v>234688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313282</v>
      </c>
      <c r="D8" s="243"/>
      <c r="E8" s="20">
        <f>'DOE25'!L203+'DOE25'!L221+'DOE25'!L239-F8-G8-D9-D11</f>
        <v>300275</v>
      </c>
      <c r="F8" s="255">
        <f>'DOE25'!J203+'DOE25'!J221+'DOE25'!J239</f>
        <v>2916</v>
      </c>
      <c r="G8" s="53">
        <f>'DOE25'!K203+'DOE25'!K221+'DOE25'!K239</f>
        <v>10091</v>
      </c>
      <c r="H8" s="259"/>
    </row>
    <row r="9" spans="1:9" x14ac:dyDescent="0.2">
      <c r="A9" s="32">
        <v>2310</v>
      </c>
      <c r="B9" t="s">
        <v>818</v>
      </c>
      <c r="C9" s="245">
        <f t="shared" si="0"/>
        <v>53600</v>
      </c>
      <c r="D9" s="244">
        <v>53600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7800</v>
      </c>
      <c r="D10" s="243"/>
      <c r="E10" s="244">
        <v>7800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157867</v>
      </c>
      <c r="D11" s="244">
        <v>157867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695269</v>
      </c>
      <c r="D12" s="20">
        <f>'DOE25'!L204+'DOE25'!L222+'DOE25'!L240-F12-G12</f>
        <v>689166</v>
      </c>
      <c r="E12" s="243"/>
      <c r="F12" s="255">
        <f>'DOE25'!J204+'DOE25'!J222+'DOE25'!J240</f>
        <v>0</v>
      </c>
      <c r="G12" s="53">
        <f>'DOE25'!K204+'DOE25'!K222+'DOE25'!K240</f>
        <v>6103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959964</v>
      </c>
      <c r="D14" s="20">
        <f>'DOE25'!L206+'DOE25'!L224+'DOE25'!L242-F14-G14</f>
        <v>958734</v>
      </c>
      <c r="E14" s="243"/>
      <c r="F14" s="255">
        <f>'DOE25'!J206+'DOE25'!J224+'DOE25'!J242</f>
        <v>0</v>
      </c>
      <c r="G14" s="53">
        <f>'DOE25'!K206+'DOE25'!K224+'DOE25'!K242</f>
        <v>1230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500403</v>
      </c>
      <c r="D15" s="20">
        <f>'DOE25'!L207+'DOE25'!L225+'DOE25'!L243-F15-G15</f>
        <v>500403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276421</v>
      </c>
      <c r="D25" s="243"/>
      <c r="E25" s="243"/>
      <c r="F25" s="258"/>
      <c r="G25" s="256"/>
      <c r="H25" s="257">
        <f>'DOE25'!L259+'DOE25'!L260+'DOE25'!L340+'DOE25'!L341</f>
        <v>276421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68460</v>
      </c>
      <c r="D29" s="20">
        <f>'DOE25'!L357+'DOE25'!L358+'DOE25'!L359-'DOE25'!I366-F29-G29</f>
        <v>68354</v>
      </c>
      <c r="E29" s="243"/>
      <c r="F29" s="255">
        <f>'DOE25'!J357+'DOE25'!J358+'DOE25'!J359</f>
        <v>0</v>
      </c>
      <c r="G29" s="53">
        <f>'DOE25'!K357+'DOE25'!K358+'DOE25'!K359</f>
        <v>106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157646</v>
      </c>
      <c r="D31" s="20">
        <f>'DOE25'!L289+'DOE25'!L308+'DOE25'!L327+'DOE25'!L332+'DOE25'!L333+'DOE25'!L334-F31-G31</f>
        <v>145968</v>
      </c>
      <c r="E31" s="243"/>
      <c r="F31" s="255">
        <f>'DOE25'!J289+'DOE25'!J308+'DOE25'!J327+'DOE25'!J332+'DOE25'!J333+'DOE25'!J334</f>
        <v>11678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9588900</v>
      </c>
      <c r="E33" s="246">
        <f>SUM(E5:E31)</f>
        <v>308075</v>
      </c>
      <c r="F33" s="246">
        <f>SUM(F5:F31)</f>
        <v>273678</v>
      </c>
      <c r="G33" s="246">
        <f>SUM(G5:G31)</f>
        <v>19936</v>
      </c>
      <c r="H33" s="246">
        <f>SUM(H5:H31)</f>
        <v>276421</v>
      </c>
    </row>
    <row r="35" spans="2:8" ht="12" thickBot="1" x14ac:dyDescent="0.25">
      <c r="B35" s="253" t="s">
        <v>847</v>
      </c>
      <c r="D35" s="254">
        <f>E33</f>
        <v>308075</v>
      </c>
      <c r="E35" s="249"/>
    </row>
    <row r="36" spans="2:8" ht="12" thickTop="1" x14ac:dyDescent="0.2">
      <c r="B36" t="s">
        <v>815</v>
      </c>
      <c r="D36" s="20">
        <f>D33</f>
        <v>9588900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Sunapee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381363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720511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199954</v>
      </c>
      <c r="D11" s="95">
        <f>'DOE25'!G12</f>
        <v>30658</v>
      </c>
      <c r="E11" s="95">
        <f>'DOE25'!H22</f>
        <v>76065</v>
      </c>
      <c r="F11" s="95">
        <f>'DOE25'!I22</f>
        <v>83347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18262</v>
      </c>
      <c r="D12" s="95">
        <f>'DOE25'!G13</f>
        <v>2060</v>
      </c>
      <c r="E12" s="95">
        <f>'DOE25'!H13</f>
        <v>76065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5897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605476</v>
      </c>
      <c r="D18" s="41">
        <f>SUM(D8:D17)</f>
        <v>32718</v>
      </c>
      <c r="E18" s="41">
        <f>SUM(E8:E17)</f>
        <v>152130</v>
      </c>
      <c r="F18" s="41">
        <f>SUM(F8:F17)</f>
        <v>83347</v>
      </c>
      <c r="G18" s="41">
        <f>SUM(G8:G17)</f>
        <v>720511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 t="e">
        <f>'DOE25'!#REF!</f>
        <v>#REF!</v>
      </c>
      <c r="F21" s="95" t="e">
        <f>'DOE25'!#REF!</f>
        <v>#REF!</v>
      </c>
      <c r="G21" s="95">
        <f>'DOE25'!J22</f>
        <v>154547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0</v>
      </c>
      <c r="E31" s="41" t="e">
        <f>SUM(E21:E30)</f>
        <v>#REF!</v>
      </c>
      <c r="F31" s="41" t="e">
        <f>SUM(F21:F30)</f>
        <v>#REF!</v>
      </c>
      <c r="G31" s="41">
        <f>SUM(G21:G30)</f>
        <v>154547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32718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565964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130603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474873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605476</v>
      </c>
      <c r="D49" s="41">
        <f>SUM(D34:D48)</f>
        <v>32718</v>
      </c>
      <c r="E49" s="41">
        <f>SUM(E34:E48)</f>
        <v>0</v>
      </c>
      <c r="F49" s="41">
        <f>SUM(F34:F48)</f>
        <v>0</v>
      </c>
      <c r="G49" s="41">
        <f>SUM(G34:G48)</f>
        <v>565964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605476</v>
      </c>
      <c r="D50" s="41">
        <f>D49+D31</f>
        <v>32718</v>
      </c>
      <c r="E50" s="41" t="e">
        <f>E49+E31</f>
        <v>#REF!</v>
      </c>
      <c r="F50" s="41" t="e">
        <f>F49+F31</f>
        <v>#REF!</v>
      </c>
      <c r="G50" s="41">
        <f>G49+G31</f>
        <v>720511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6930856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147368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1207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503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69861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4342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4167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152917</v>
      </c>
      <c r="D61" s="130">
        <f>SUM(D56:D60)</f>
        <v>69861</v>
      </c>
      <c r="E61" s="130">
        <f>SUM(E56:E60)</f>
        <v>0</v>
      </c>
      <c r="F61" s="130">
        <f>SUM(F56:F60)</f>
        <v>0</v>
      </c>
      <c r="G61" s="130">
        <f>SUM(G56:G60)</f>
        <v>4670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7083773</v>
      </c>
      <c r="D62" s="22">
        <f>D55+D61</f>
        <v>69861</v>
      </c>
      <c r="E62" s="22">
        <f>E55+E61</f>
        <v>0</v>
      </c>
      <c r="F62" s="22">
        <f>F55+F61</f>
        <v>0</v>
      </c>
      <c r="G62" s="22">
        <f>G55+G61</f>
        <v>4670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18441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2892029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2910470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83480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134544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54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1829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218078</v>
      </c>
      <c r="D77" s="130">
        <f>SUM(D71:D76)</f>
        <v>1829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3128548</v>
      </c>
      <c r="D80" s="130">
        <f>SUM(D78:D79)+D77+D69</f>
        <v>1829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160813</v>
      </c>
      <c r="D87" s="95">
        <f>SUM('DOE25'!G152:G160)</f>
        <v>41364</v>
      </c>
      <c r="E87" s="95">
        <f>SUM('DOE25'!H152:H160)</f>
        <v>157646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160813</v>
      </c>
      <c r="D90" s="131">
        <f>SUM(D84:D89)</f>
        <v>41364</v>
      </c>
      <c r="E90" s="131">
        <f>SUM(E84:E89)</f>
        <v>157646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125000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101000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83347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101000</v>
      </c>
      <c r="D102" s="86">
        <f>SUM(D92:D101)</f>
        <v>0</v>
      </c>
      <c r="E102" s="86">
        <f>SUM(E92:E101)</f>
        <v>0</v>
      </c>
      <c r="F102" s="86">
        <f>SUM(F92:F101)</f>
        <v>83347</v>
      </c>
      <c r="G102" s="86">
        <f>SUM(G92:G101)</f>
        <v>125000</v>
      </c>
    </row>
    <row r="103" spans="1:7" ht="12.75" thickTop="1" thickBot="1" x14ac:dyDescent="0.25">
      <c r="A103" s="33" t="s">
        <v>765</v>
      </c>
      <c r="C103" s="86">
        <f>C62+C80+C90+C102</f>
        <v>10474134</v>
      </c>
      <c r="D103" s="86">
        <f>D62+D80+D90+D102</f>
        <v>113054</v>
      </c>
      <c r="E103" s="86">
        <f>E62+E80+E90+E102</f>
        <v>157646</v>
      </c>
      <c r="F103" s="86">
        <f>F62+F80+F90+F102</f>
        <v>83347</v>
      </c>
      <c r="G103" s="86">
        <f>G62+G80+G102</f>
        <v>129670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3657299</v>
      </c>
      <c r="D108" s="24" t="s">
        <v>289</v>
      </c>
      <c r="E108" s="95">
        <f>('DOE25'!L275)+('DOE25'!L294)+('DOE25'!L313)</f>
        <v>81183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1775585</v>
      </c>
      <c r="D109" s="24" t="s">
        <v>289</v>
      </c>
      <c r="E109" s="95">
        <f>('DOE25'!L276)+('DOE25'!L295)+('DOE25'!L314)</f>
        <v>37974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6861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243832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5683577</v>
      </c>
      <c r="D114" s="86">
        <f>SUM(D108:D113)</f>
        <v>0</v>
      </c>
      <c r="E114" s="86">
        <f>SUM(E108:E113)</f>
        <v>119157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847504</v>
      </c>
      <c r="D117" s="24" t="s">
        <v>289</v>
      </c>
      <c r="E117" s="95">
        <f>+('DOE25'!L280)+('DOE25'!L299)+('DOE25'!L318)</f>
        <v>38489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745217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524749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695269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959964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500403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126551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4273106</v>
      </c>
      <c r="D127" s="86">
        <f>SUM(D117:D126)</f>
        <v>126551</v>
      </c>
      <c r="E127" s="86">
        <f>SUM(E117:E126)</f>
        <v>38489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83347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270000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6421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184347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129670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-4670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401421</v>
      </c>
      <c r="D143" s="141">
        <f>SUM(D129:D142)</f>
        <v>0</v>
      </c>
      <c r="E143" s="141">
        <f>SUM(E129:E142)</f>
        <v>0</v>
      </c>
      <c r="F143" s="141">
        <f>SUM(F129:F142)</f>
        <v>83347</v>
      </c>
      <c r="G143" s="141">
        <f>SUM(G129:G142)</f>
        <v>184347</v>
      </c>
    </row>
    <row r="144" spans="1:7" ht="12.75" thickTop="1" thickBot="1" x14ac:dyDescent="0.25">
      <c r="A144" s="33" t="s">
        <v>244</v>
      </c>
      <c r="C144" s="86">
        <f>(C114+C127+C143)</f>
        <v>10358104</v>
      </c>
      <c r="D144" s="86">
        <f>(D114+D127+D143)</f>
        <v>126551</v>
      </c>
      <c r="E144" s="86">
        <f>(E114+E127+E143)</f>
        <v>157646</v>
      </c>
      <c r="F144" s="86">
        <f>(F114+F127+F143)</f>
        <v>83347</v>
      </c>
      <c r="G144" s="86">
        <f>(G114+G127+G143)</f>
        <v>184347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15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08/98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08/13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4054000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4.7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270000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270000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270000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270000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4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Sunapee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17250</v>
      </c>
    </row>
    <row r="5" spans="1:4" x14ac:dyDescent="0.2">
      <c r="B5" t="s">
        <v>704</v>
      </c>
      <c r="C5" s="179">
        <f>IF('DOE25'!G664+'DOE25'!G669=0,0,ROUND('DOE25'!G671,0))</f>
        <v>25769</v>
      </c>
    </row>
    <row r="6" spans="1:4" x14ac:dyDescent="0.2">
      <c r="B6" t="s">
        <v>62</v>
      </c>
      <c r="C6" s="179">
        <f>IF('DOE25'!H664+'DOE25'!H669=0,0,ROUND('DOE25'!H671,0))</f>
        <v>22338</v>
      </c>
    </row>
    <row r="7" spans="1:4" x14ac:dyDescent="0.2">
      <c r="B7" t="s">
        <v>705</v>
      </c>
      <c r="C7" s="179">
        <f>IF('DOE25'!I664+'DOE25'!I669=0,0,ROUND('DOE25'!I671,0))</f>
        <v>20952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3738482</v>
      </c>
      <c r="D10" s="182">
        <f>ROUND((C10/$C$28)*100,1)</f>
        <v>36.700000000000003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1813559</v>
      </c>
      <c r="D11" s="182">
        <f>ROUND((C11/$C$28)*100,1)</f>
        <v>17.8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6861</v>
      </c>
      <c r="D12" s="182">
        <f>ROUND((C12/$C$28)*100,1)</f>
        <v>0.1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243832</v>
      </c>
      <c r="D13" s="182">
        <f>ROUND((C13/$C$28)*100,1)</f>
        <v>2.4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885993</v>
      </c>
      <c r="D15" s="182">
        <f t="shared" ref="D15:D27" si="0">ROUND((C15/$C$28)*100,1)</f>
        <v>8.6999999999999993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745217</v>
      </c>
      <c r="D16" s="182">
        <f t="shared" si="0"/>
        <v>7.3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524749</v>
      </c>
      <c r="D17" s="182">
        <f t="shared" si="0"/>
        <v>5.2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695269</v>
      </c>
      <c r="D18" s="182">
        <f t="shared" si="0"/>
        <v>6.8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959964</v>
      </c>
      <c r="D20" s="182">
        <f t="shared" si="0"/>
        <v>9.4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500403</v>
      </c>
      <c r="D21" s="182">
        <f t="shared" si="0"/>
        <v>4.9000000000000004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6421</v>
      </c>
      <c r="D25" s="182">
        <f t="shared" si="0"/>
        <v>0.1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56690</v>
      </c>
      <c r="D27" s="182">
        <f t="shared" si="0"/>
        <v>0.6</v>
      </c>
    </row>
    <row r="28" spans="1:4" x14ac:dyDescent="0.2">
      <c r="B28" s="187" t="s">
        <v>723</v>
      </c>
      <c r="C28" s="180">
        <f>SUM(C10:C27)</f>
        <v>10177440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83347</v>
      </c>
    </row>
    <row r="30" spans="1:4" x14ac:dyDescent="0.2">
      <c r="B30" s="187" t="s">
        <v>729</v>
      </c>
      <c r="C30" s="180">
        <f>SUM(C28:C29)</f>
        <v>10260787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270000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6930856</v>
      </c>
      <c r="D35" s="182">
        <f t="shared" ref="D35:D40" si="1">ROUND((C35/$C$41)*100,1)</f>
        <v>65.5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157587</v>
      </c>
      <c r="D36" s="182">
        <f t="shared" si="1"/>
        <v>1.5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2910470</v>
      </c>
      <c r="D37" s="182">
        <f t="shared" si="1"/>
        <v>27.5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219907</v>
      </c>
      <c r="D38" s="182">
        <f t="shared" si="1"/>
        <v>2.1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359823</v>
      </c>
      <c r="D39" s="182">
        <f t="shared" si="1"/>
        <v>3.4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10578643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22" activePane="bottomLeft" state="frozen"/>
      <selection pane="bottomLeft" activeCell="C23" sqref="C23:M23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Sunapee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2013-11-01T13:16:21Z</cp:lastPrinted>
  <dcterms:created xsi:type="dcterms:W3CDTF">1997-12-04T19:04:30Z</dcterms:created>
  <dcterms:modified xsi:type="dcterms:W3CDTF">2013-12-05T19:00:46Z</dcterms:modified>
</cp:coreProperties>
</file>