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6" i="10"/>
  <c r="C17" i="10"/>
  <c r="C19" i="10"/>
  <c r="C20" i="10"/>
  <c r="C21" i="10"/>
  <c r="L249" i="1"/>
  <c r="L331" i="1"/>
  <c r="C23" i="10" s="1"/>
  <c r="L253" i="1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G210" i="1"/>
  <c r="H210" i="1"/>
  <c r="I210" i="1"/>
  <c r="I256" i="1" s="1"/>
  <c r="I270" i="1" s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F460" i="1" s="1"/>
  <c r="H638" i="1" s="1"/>
  <c r="J638" i="1" s="1"/>
  <c r="G459" i="1"/>
  <c r="H459" i="1"/>
  <c r="I459" i="1"/>
  <c r="G460" i="1"/>
  <c r="H460" i="1"/>
  <c r="I460" i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H544" i="1" s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J633" i="1" s="1"/>
  <c r="H634" i="1"/>
  <c r="H635" i="1"/>
  <c r="H636" i="1"/>
  <c r="H637" i="1"/>
  <c r="G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K550" i="1"/>
  <c r="C22" i="13"/>
  <c r="C137" i="2"/>
  <c r="C16" i="13"/>
  <c r="J648" i="1" l="1"/>
  <c r="K548" i="1"/>
  <c r="K551" i="1" s="1"/>
  <c r="L523" i="1"/>
  <c r="L544" i="1" s="1"/>
  <c r="K502" i="1"/>
  <c r="H33" i="13"/>
  <c r="E33" i="13"/>
  <c r="D35" i="13" s="1"/>
  <c r="J621" i="1"/>
  <c r="F51" i="1"/>
  <c r="H616" i="1" s="1"/>
  <c r="J616" i="1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H645" i="1" l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C41" i="10" l="1"/>
  <c r="D38" i="10" s="1"/>
  <c r="D37" i="10" l="1"/>
  <c r="D36" i="10"/>
  <c r="D35" i="10"/>
  <c r="D40" i="10"/>
  <c r="D39" i="10"/>
  <c r="D41" i="10" l="1"/>
  <c r="F210" i="1"/>
  <c r="F256" i="1" s="1"/>
  <c r="F270" i="1" s="1"/>
  <c r="L201" i="1"/>
  <c r="C15" i="10" s="1"/>
  <c r="C28" i="10" l="1"/>
  <c r="D15" i="10" s="1"/>
  <c r="D6" i="13"/>
  <c r="C117" i="2"/>
  <c r="C127" i="2" s="1"/>
  <c r="C144" i="2" s="1"/>
  <c r="L210" i="1"/>
  <c r="F659" i="1" l="1"/>
  <c r="L256" i="1"/>
  <c r="L270" i="1" s="1"/>
  <c r="G631" i="1" s="1"/>
  <c r="C6" i="13"/>
  <c r="D33" i="13"/>
  <c r="D36" i="13" s="1"/>
  <c r="D17" i="10"/>
  <c r="D24" i="10"/>
  <c r="D26" i="10"/>
  <c r="D16" i="10"/>
  <c r="D20" i="10"/>
  <c r="D19" i="10"/>
  <c r="D13" i="10"/>
  <c r="D21" i="10"/>
  <c r="D23" i="10"/>
  <c r="D12" i="10"/>
  <c r="D18" i="10"/>
  <c r="C30" i="10"/>
  <c r="D10" i="10"/>
  <c r="D25" i="10"/>
  <c r="D27" i="10"/>
  <c r="D11" i="10"/>
  <c r="D22" i="10"/>
  <c r="J631" i="1" l="1"/>
  <c r="H655" i="1"/>
  <c r="D28" i="10"/>
  <c r="I659" i="1"/>
  <c r="I663" i="1" s="1"/>
  <c r="F663" i="1"/>
  <c r="I666" i="1" l="1"/>
  <c r="I671" i="1"/>
  <c r="C7" i="10" s="1"/>
  <c r="F671" i="1"/>
  <c r="C4" i="10" s="1"/>
  <c r="F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<sst xmlns="http://schemas.openxmlformats.org/spreadsheetml/2006/main" count="3946" uniqueCount="912">
  <si>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</si>
  <si>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</si>
  <si>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</si>
  <si>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</si>
  <si>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</si>
  <si>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</si>
  <si>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</si>
  <si>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</si>
  <si>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</si>
  <si>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</si>
  <si>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</si>
  <si>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</si>
  <si>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</si>
  <si>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</si>
  <si>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</si>
  <si>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</si>
  <si>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</si>
  <si>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</si>
  <si>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</si>
  <si>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</si>
  <si>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</si>
  <si>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</si>
  <si>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</si>
  <si>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</si>
  <si>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</si>
  <si>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</si>
  <si>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</si>
  <si>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</si>
  <si>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</si>
  <si>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</si>
  <si>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</si>
  <si>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</si>
  <si>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</si>
  <si>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</si>
  <si>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</si>
  <si>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</si>
  <si>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</si>
  <si>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</si>
  <si>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</si>
  <si>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</si>
  <si>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</si>
  <si>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</si>
  <si>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</si>
  <si>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</si>
  <si>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</si>
  <si>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</si>
  <si>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</si>
  <si>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</si>
  <si>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</si>
  <si>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</si>
  <si>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</si>
  <si>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</si>
  <si>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</si>
  <si>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</si>
  <si>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</si>
  <si>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</si>
  <si>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</si>
  <si>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</si>
  <si>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</si>
  <si>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</si>
  <si>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</si>
  <si>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</si>
  <si>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</si>
  <si>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</si>
  <si>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</si>
  <si>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</si>
  <si>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</si>
  <si>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</si>
  <si>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</si>
  <si>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</si>
  <si>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</si>
  <si>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</si>
  <si>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</si>
  <si>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</si>
  <si>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</si>
  <si>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</si>
  <si>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</si>
  <si>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</si>
  <si>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</si>
  <si>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</si>
  <si>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</si>
  <si>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</si>
  <si>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</si>
  <si>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</si>
  <si>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</si>
  <si>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</si>
  <si>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</si>
  <si>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</si>
  <si>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</si>
  <si>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</si>
  <si>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</si>
  <si>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</si>
  <si>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</si>
  <si>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</si>
  <si>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</si>
  <si>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</si>
  <si>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</si>
  <si>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</si>
  <si>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</si>
  <si>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</si>
  <si>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</si>
  <si>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</si>
  <si>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</si>
  <si>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</si>
  <si>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</si>
  <si>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</si>
  <si>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</si>
  <si>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</si>
  <si>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</si>
  <si>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</si>
  <si>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</si>
  <si>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</si>
  <si>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</si>
  <si>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</si>
  <si>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</si>
  <si>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</si>
  <si>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</si>
  <si>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</si>
  <si>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</si>
  <si>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</si>
  <si>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</si>
  <si>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</si>
  <si>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</si>
  <si>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</si>
  <si>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</si>
  <si>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</si>
  <si>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</si>
  <si>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</si>
  <si>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</si>
  <si>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</si>
  <si>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</si>
  <si>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</si>
  <si>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</si>
  <si>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</si>
  <si>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</si>
  <si>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</si>
  <si>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</si>
  <si>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</si>
  <si>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</si>
  <si>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</si>
  <si>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</si>
  <si>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</si>
  <si>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</si>
  <si>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</si>
  <si>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</si>
  <si>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</si>
  <si>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</si>
  <si>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</si>
  <si>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</si>
  <si>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</si>
  <si>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</si>
  <si>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</si>
  <si>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</si>
  <si>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</si>
  <si>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</si>
  <si>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</si>
  <si>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</si>
  <si>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</si>
  <si>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</si>
  <si>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</si>
  <si>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</si>
  <si>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</si>
  <si>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</si>
  <si>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</si>
  <si>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</si>
  <si>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</si>
  <si>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</si>
  <si>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</si>
  <si>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</si>
  <si>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</si>
  <si>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</si>
  <si>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</si>
  <si>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</si>
  <si>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</si>
  <si>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</si>
  <si>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</si>
  <si>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</si>
  <si>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</si>
  <si>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</si>
  <si>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</si>
  <si>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</si>
  <si>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</si>
  <si>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</si>
  <si>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</si>
  <si>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</si>
  <si>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</si>
  <si>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</si>
  <si>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</si>
  <si>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</si>
  <si>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</si>
  <si>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</si>
  <si>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</si>
  <si>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</si>
  <si>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</si>
  <si>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</si>
  <si>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</si>
  <si>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</si>
  <si>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</si>
  <si>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</si>
  <si>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</si>
  <si>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</si>
  <si>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</si>
  <si>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</si>
  <si>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</si>
  <si>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</si>
  <si>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</si>
  <si>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</si>
  <si>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</si>
  <si>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</si>
  <si>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</si>
  <si>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</si>
  <si>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</si>
  <si>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</si>
  <si>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</si>
  <si>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</si>
  <si>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</si>
  <si>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</si>
  <si>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</si>
  <si>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</si>
  <si>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</si>
  <si>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</si>
  <si>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</si>
  <si>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</si>
  <si>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</si>
  <si>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</si>
  <si>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</si>
  <si>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</si>
  <si>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</si>
  <si>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</si>
  <si>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</si>
  <si>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</si>
  <si>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</si>
  <si>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</si>
  <si>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</si>
  <si>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</si>
  <si>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</si>
  <si>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</si>
  <si>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</si>
  <si>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</si>
  <si>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</si>
  <si>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</si>
  <si>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</si>
  <si>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</si>
  <si>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</si>
  <si>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</si>
  <si>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</si>
  <si>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</si>
  <si>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</si>
  <si>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</si>
  <si>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</si>
  <si>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</si>
  <si>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</si>
  <si>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</si>
  <si>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</si>
  <si>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</si>
  <si>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</si>
  <si>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</si>
  <si>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</si>
  <si>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</si>
  <si>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</si>
  <si>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</si>
  <si>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</si>
  <si>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</si>
  <si>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</si>
  <si>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</si>
  <si>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</si>
  <si>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</si>
  <si>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</si>
  <si>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</si>
  <si>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</si>
  <si>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</si>
  <si>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</si>
  <si>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</si>
  <si>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</si>
  <si>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</si>
  <si>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</si>
  <si>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</si>
  <si>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</si>
  <si>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</si>
  <si>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</si>
  <si>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</si>
  <si>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</si>
  <si>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</si>
  <si>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</si>
  <si>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</si>
  <si>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</si>
  <si>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</si>
  <si>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</si>
  <si>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</si>
  <si>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</si>
  <si>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</si>
  <si>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</si>
  <si>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</si>
  <si>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</si>
  <si>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</si>
  <si>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</si>
  <si>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</si>
  <si>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</si>
  <si>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</si>
  <si>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</si>
  <si>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</si>
  <si>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</si>
  <si>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</si>
  <si>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</si>
  <si>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</si>
  <si>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</si>
  <si>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</si>
  <si>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</si>
  <si>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</si>
  <si>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</si>
  <si>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</si>
  <si>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</si>
  <si>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</si>
  <si>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</si>
  <si>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</si>
  <si>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</si>
  <si>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</si>
  <si>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</si>
  <si>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</si>
  <si>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</si>
  <si>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</si>
  <si>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</si>
  <si>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</si>
  <si>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</si>
  <si>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</si>
  <si>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</si>
  <si>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</si>
  <si>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</si>
  <si>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</si>
  <si>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</si>
  <si>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</si>
  <si>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</si>
  <si>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</si>
  <si>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</si>
  <si>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</si>
  <si>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</si>
  <si>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</si>
  <si>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</si>
  <si>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</si>
  <si>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</si>
  <si>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</si>
  <si>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</si>
  <si>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</si>
  <si>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</si>
  <si>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</si>
  <si>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</si>
  <si>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</si>
  <si>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</si>
  <si>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</si>
  <si>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</si>
  <si>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</si>
  <si>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</si>
  <si>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</si>
  <si>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</si>
  <si>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</si>
  <si>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</si>
  <si>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</si>
  <si>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</si>
  <si>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</si>
  <si>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</si>
  <si>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</si>
  <si>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</si>
  <si>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</si>
  <si>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</si>
  <si>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</si>
  <si>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</si>
  <si>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</si>
  <si>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</si>
  <si>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</si>
  <si>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</si>
  <si>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</si>
  <si>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</si>
  <si>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</si>
  <si>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</si>
  <si>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</si>
  <si>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</si>
  <si>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</si>
  <si>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</si>
  <si>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</si>
  <si>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</si>
  <si>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</si>
  <si>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</si>
  <si>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</si>
  <si>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</si>
  <si>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</si>
  <si>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</si>
  <si>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</si>
  <si>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</si>
  <si>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</si>
  <si>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</si>
  <si>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</si>
  <si>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</si>
  <si>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</si>
  <si>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</si>
  <si>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</si>
  <si>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</si>
  <si>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</si>
  <si>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</si>
  <si>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</si>
  <si>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</si>
  <si>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</si>
  <si>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</si>
  <si>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</si>
  <si>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</si>
  <si>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</si>
  <si>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</si>
  <si>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</si>
  <si>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</si>
  <si>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</si>
  <si>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</si>
  <si>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</si>
  <si>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</si>
  <si>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</si>
  <si>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</si>
  <si>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</si>
  <si>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</si>
  <si>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</si>
  <si>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</si>
  <si>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</si>
  <si>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</si>
  <si>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</si>
  <si>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</si>
  <si>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</si>
  <si>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</si>
  <si>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</si>
  <si>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</si>
  <si>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</si>
  <si>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</si>
  <si>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</si>
  <si>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</si>
  <si>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</si>
  <si>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</si>
  <si>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</si>
  <si>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</si>
  <si>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</si>
  <si>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</si>
  <si>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</si>
  <si>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</si>
  <si>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</si>
  <si>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</si>
  <si>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</si>
  <si>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</si>
  <si>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</si>
  <si>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</si>
  <si>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</si>
  <si>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</si>
  <si>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</si>
  <si>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</si>
  <si>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</si>
  <si>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</si>
  <si>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</si>
  <si>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</si>
  <si>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</si>
  <si>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</si>
  <si>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</si>
  <si>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</si>
  <si>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</si>
  <si>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</si>
  <si>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</si>
  <si>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</si>
  <si>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</si>
  <si>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</si>
  <si>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</si>
  <si>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</si>
  <si>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</si>
  <si>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</si>
  <si>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</si>
  <si>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</si>
  <si>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</si>
  <si>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</si>
  <si>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</si>
  <si>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</si>
  <si>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</si>
  <si>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</si>
  <si>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</si>
  <si>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</si>
  <si>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</si>
  <si>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</si>
  <si>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</si>
  <si>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</si>
  <si>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</si>
  <si>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</si>
  <si>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</si>
  <si>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</si>
  <si>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</si>
  <si>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</si>
  <si>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</si>
  <si>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</si>
  <si>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</si>
  <si>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</si>
  <si>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</si>
  <si>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</si>
  <si>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</si>
  <si>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</si>
  <si>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</si>
  <si>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</si>
  <si>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</si>
  <si>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</si>
  <si>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</si>
  <si>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</si>
  <si>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</si>
  <si>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</si>
  <si>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</si>
  <si>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</si>
  <si>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</si>
  <si>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</si>
  <si>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</si>
  <si>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</si>
  <si>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</si>
  <si>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</si>
  <si>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</si>
  <si>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</si>
  <si>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</si>
  <si>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</si>
  <si>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</si>
  <si>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</si>
  <si>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</si>
  <si>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</si>
  <si>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</si>
  <si>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</si>
  <si>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</si>
  <si>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</si>
  <si>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</si>
  <si>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</si>
  <si>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</si>
  <si>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</si>
  <si>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</si>
  <si>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</si>
  <si>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</si>
  <si>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</si>
  <si>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</si>
  <si>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</si>
  <si>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</si>
  <si>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</si>
  <si>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</si>
  <si>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</si>
  <si>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</si>
  <si>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</si>
  <si>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</si>
  <si>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</si>
  <si>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</si>
  <si>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</si>
  <si>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</si>
  <si>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</si>
  <si>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</si>
  <si>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</si>
  <si>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</si>
  <si>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</si>
  <si>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</si>
  <si>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</si>
  <si>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</si>
  <si>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</si>
  <si>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</si>
  <si>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</si>
  <si>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</si>
  <si>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</si>
  <si>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</si>
  <si>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</si>
  <si>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</si>
  <si>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</si>
  <si>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</si>
  <si>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</si>
  <si>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</si>
  <si>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</si>
  <si>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</si>
  <si>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</si>
  <si>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</si>
  <si>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</si>
  <si>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</si>
  <si>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</si>
  <si>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</si>
  <si>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</si>
  <si>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</si>
  <si>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</si>
  <si>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</si>
  <si>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</si>
  <si>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</si>
  <si>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</si>
  <si>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</si>
  <si>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</si>
  <si>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</si>
  <si>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</si>
  <si>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</si>
  <si>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</si>
  <si>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</si>
  <si>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</si>
  <si>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</si>
  <si>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</si>
  <si>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</si>
  <si>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</si>
  <si>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</si>
  <si>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</si>
  <si>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</si>
  <si>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</si>
  <si>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</si>
  <si>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</si>
  <si>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</si>
  <si>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</si>
  <si>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</si>
  <si>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</si>
  <si>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</si>
  <si>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</si>
  <si>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</si>
  <si>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</si>
  <si>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</si>
  <si>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</si>
  <si>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</si>
  <si>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</si>
  <si>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</si>
  <si>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</si>
  <si>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</si>
  <si>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</si>
  <si>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</si>
  <si>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</si>
  <si>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</si>
  <si>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</si>
  <si>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</si>
  <si>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</si>
  <si>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</si>
  <si>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</si>
  <si>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</si>
  <si>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</si>
  <si>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</si>
  <si>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</si>
  <si>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</si>
  <si>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</si>
  <si>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</si>
  <si>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</si>
  <si>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</si>
  <si>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</si>
  <si>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</si>
  <si>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</si>
  <si>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</si>
  <si>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</si>
  <si>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</si>
  <si>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</si>
  <si>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</si>
  <si>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</si>
  <si>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</si>
  <si>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</si>
  <si>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</si>
  <si>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</si>
  <si>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</si>
  <si>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</si>
  <si>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</si>
  <si>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</si>
  <si>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</si>
  <si>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</si>
  <si>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</si>
  <si>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</si>
  <si>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</si>
  <si>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</si>
  <si>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</si>
  <si>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</si>
  <si>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</si>
  <si>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</si>
  <si>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</si>
  <si>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</si>
  <si>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</si>
  <si>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</si>
  <si>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</si>
  <si>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</si>
  <si>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</si>
  <si>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</si>
  <si>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</si>
  <si>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</si>
  <si>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</si>
  <si>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</si>
  <si>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</si>
  <si>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</si>
  <si>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</si>
  <si>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</si>
  <si>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</si>
  <si>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</si>
  <si>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</si>
  <si>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</si>
  <si>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</si>
  <si>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</si>
  <si>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</si>
  <si>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</si>
  <si>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</si>
  <si>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</si>
  <si>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</si>
  <si>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</si>
  <si>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</si>
  <si>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</si>
  <si>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</si>
  <si>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</si>
  <si>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</si>
  <si>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</si>
  <si>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</si>
  <si>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</si>
  <si>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</si>
  <si>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</si>
  <si>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</si>
  <si>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</si>
  <si>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</si>
  <si>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</si>
  <si>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</si>
  <si>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</si>
  <si>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</si>
  <si>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</si>
  <si>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</si>
  <si>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</si>
  <si>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</si>
  <si>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</si>
  <si>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</si>
  <si>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</si>
  <si>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</si>
  <si>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</si>
  <si>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</si>
  <si>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</si>
  <si>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</si>
  <si>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</si>
  <si>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</si>
  <si>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</si>
  <si>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</si>
  <si>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</si>
  <si>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</si>
  <si>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</si>
  <si>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</si>
  <si>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</si>
  <si>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</si>
  <si>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</si>
  <si>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</si>
  <si>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</si>
  <si>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</si>
  <si>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</si>
  <si>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</si>
  <si>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</si>
  <si>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</si>
  <si>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</si>
  <si>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</si>
  <si>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</si>
  <si>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</si>
  <si>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</si>
  <si>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</si>
  <si>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</si>
  <si>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</si>
  <si>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</si>
  <si>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</si>
  <si>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</si>
  <si>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</si>
  <si>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</si>
  <si>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</si>
  <si>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</si>
  <si>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</si>
  <si>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</si>
  <si>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</si>
  <si>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</si>
  <si>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</si>
  <si>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</si>
  <si>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</si>
  <si>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</si>
  <si>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</si>
  <si>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</si>
  <si>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</si>
  <si>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</si>
  <si>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</si>
  <si>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</si>
  <si>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</si>
  <si>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</si>
  <si>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</si>
  <si>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</si>
  <si>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</si>
  <si>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</si>
  <si>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</si>
  <si>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</si>
  <si>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</si>
  <si>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</si>
  <si>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</si>
  <si>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</si>
  <si>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</si>
  <si>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</si>
  <si>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</si>
  <si>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</si>
  <si>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</si>
  <si>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</si>
  <si>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</si>
  <si>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</si>
  <si>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</si>
  <si>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</si>
  <si>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</si>
  <si>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</si>
  <si>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</si>
  <si>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</si>
  <si>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</si>
  <si>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</si>
  <si>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</si>
  <si>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</si>
  <si>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</si>
  <si>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</si>
  <si>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</si>
  <si>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</si>
  <si>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</si>
  <si>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</si>
  <si>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</si>
  <si>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</si>
  <si>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</si>
  <si>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</si>
  <si>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</si>
  <si>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</si>
  <si>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</si>
  <si>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</si>
  <si>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</si>
  <si>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</si>
  <si>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</si>
  <si>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</si>
  <si>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</si>
  <si>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</si>
  <si>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</si>
  <si>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</si>
  <si>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</si>
  <si>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</si>
  <si>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</si>
  <si>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</si>
  <si>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</si>
  <si>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</si>
  <si>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</si>
  <si>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</si>
  <si>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</si>
  <si>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</si>
  <si>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</si>
  <si>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</si>
  <si>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</si>
  <si>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</si>
  <si>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</si>
  <si>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</si>
  <si>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</si>
  <si>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</si>
  <si>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</si>
  <si>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</si>
  <si>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</si>
  <si>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</si>
  <si>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</si>
  <si>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</si>
  <si>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</si>
  <si>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</si>
  <si>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</si>
  <si>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</si>
  <si>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</si>
  <si>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</si>
  <si>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</si>
  <si>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</si>
  <si>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</si>
  <si>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</si>
  <si>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</si>
  <si>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</si>
  <si>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</si>
  <si>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</si>
  <si>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</si>
  <si>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</si>
  <si>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</si>
  <si>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</si>
  <si>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</si>
  <si>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</si>
  <si>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</si>
  <si>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</si>
  <si>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</si>
  <si>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</si>
  <si>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</si>
  <si>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</si>
  <si>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</si>
  <si>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</si>
  <si>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</si>
  <si>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</si>
  <si>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</si>
  <si>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</si>
  <si>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</si>
  <si>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</si>
  <si>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</si>
  <si>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</si>
  <si>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</si>
  <si>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</si>
  <si>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</si>
  <si>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</si>
  <si>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</si>
  <si>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</si>
  <si>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</si>
  <si>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</si>
  <si>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</si>
  <si>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</si>
  <si>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</si>
  <si>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</si>
  <si>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</si>
  <si>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</si>
  <si>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</si>
  <si>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</si>
  <si>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</si>
  <si>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</si>
  <si>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</si>
  <si>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</si>
  <si>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</si>
  <si>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</si>
  <si>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</si>
  <si>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</si>
  <si>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</si>
  <si>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</si>
  <si>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</si>
  <si>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</si>
  <si>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</si>
  <si>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</si>
  <si>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</si>
  <si>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</si>
  <si>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</si>
  <si>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</si>
  <si>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</si>
  <si>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</si>
  <si>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</si>
  <si>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THORNTON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</si>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</sst>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531</v>
      </c>
      <c r="C2" s="21">
        <v>531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203713.09</v>
      </c>
      <c r="G9" s="18">
        <v>-5360.56</v>
      </c>
      <c r="H9" s="18">
        <v>-7220.65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1142.97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14315.78</v>
      </c>
      <c r="G13" s="18">
        <v>7375.45</v>
      </c>
      <c r="H13" s="18">
        <v>10977.45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11850.71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675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230554.58</v>
      </c>
      <c r="G19" s="41">
        <f>SUM(G9:G18)</f>
        <v>2014.8899999999994</v>
      </c>
      <c r="H19" s="41">
        <f>SUM(H9:H18)</f>
        <v>3756.8000000000011</v>
      </c>
      <c r="I19" s="41">
        <f>SUM(I9:I18)</f>
        <v>0</v>
      </c>
      <c r="J19" s="41">
        <f>SUM(J9:J18)</f>
        <v>1142.97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50509.09</v>
      </c>
      <c r="G24" s="18">
        <v>831.47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1183.42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50509.09</v>
      </c>
      <c r="G32" s="41">
        <f>SUM(G22:G31)</f>
        <v>2014.89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112045.49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3756.8</v>
      </c>
      <c r="I47" s="18"/>
      <c r="J47" s="13">
        <f>SUM(I458)</f>
        <v>1142.97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68000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180045.49</v>
      </c>
      <c r="G50" s="41">
        <f>SUM(G35:G49)</f>
        <v>0</v>
      </c>
      <c r="H50" s="41">
        <f>SUM(H35:H49)</f>
        <v>3756.8</v>
      </c>
      <c r="I50" s="41">
        <f>SUM(I35:I49)</f>
        <v>0</v>
      </c>
      <c r="J50" s="41">
        <f>SUM(J35:J49)</f>
        <v>1142.97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230554.58</v>
      </c>
      <c r="G51" s="41">
        <f>G50+G32</f>
        <v>2014.89</v>
      </c>
      <c r="H51" s="41">
        <f>H50+H32</f>
        <v>3756.8</v>
      </c>
      <c r="I51" s="41">
        <f>I50+I32</f>
        <v>0</v>
      </c>
      <c r="J51" s="41">
        <f>J50+J32</f>
        <v>1142.97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2861800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2861800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145.15</v>
      </c>
      <c r="G95" s="18"/>
      <c r="H95" s="18"/>
      <c r="I95" s="18"/>
      <c r="J95" s="18">
        <v>3.41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26229.97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76524.960000000006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76670.11</v>
      </c>
      <c r="G110" s="41">
        <f>SUM(G95:G109)</f>
        <v>26229.97</v>
      </c>
      <c r="H110" s="41">
        <f>SUM(H95:H109)</f>
        <v>0</v>
      </c>
      <c r="I110" s="41">
        <f>SUM(I95:I109)</f>
        <v>0</v>
      </c>
      <c r="J110" s="41">
        <f>SUM(J95:J109)</f>
        <v>3.41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2938470.11</v>
      </c>
      <c r="G111" s="41">
        <f>G59+G110</f>
        <v>26229.97</v>
      </c>
      <c r="H111" s="41">
        <f>H59+H78+H93+H110</f>
        <v>0</v>
      </c>
      <c r="I111" s="41">
        <f>I59+I110</f>
        <v>0</v>
      </c>
      <c r="J111" s="41">
        <f>J59+J110</f>
        <v>3.41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355940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581377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937317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91020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834.05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91020</v>
      </c>
      <c r="G135" s="41">
        <f>SUM(G122:G134)</f>
        <v>834.05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1028337</v>
      </c>
      <c r="G139" s="41">
        <f>G120+SUM(G135:G136)</f>
        <v>834.05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21138.78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35822.44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72725.929999999993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20448.73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72725.929999999993</v>
      </c>
      <c r="G161" s="41">
        <f>SUM(G149:G160)</f>
        <v>35822.44</v>
      </c>
      <c r="H161" s="41">
        <f>SUM(H149:H160)</f>
        <v>41587.509999999995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10296.030000000001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83021.959999999992</v>
      </c>
      <c r="G168" s="41">
        <f>G146+G161+SUM(G162:G167)</f>
        <v>35822.44</v>
      </c>
      <c r="H168" s="41">
        <f>H146+H161+SUM(H162:H167)</f>
        <v>41587.509999999995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43674.73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43674.73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43674.73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4049829.07</v>
      </c>
      <c r="G192" s="47">
        <f>G111+G139+G168+G191</f>
        <v>106561.19</v>
      </c>
      <c r="H192" s="47">
        <f>H111+H139+H168+H191</f>
        <v>41587.509999999995</v>
      </c>
      <c r="I192" s="47">
        <f>I111+I139+I168+I191</f>
        <v>0</v>
      </c>
      <c r="J192" s="47">
        <f>J111+J139+J191</f>
        <v>3.41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1092582.76</v>
      </c>
      <c r="G196" s="18">
        <v>526918.37</v>
      </c>
      <c r="H196" s="18">
        <v>11457.92</v>
      </c>
      <c r="I196" s="18">
        <v>59397.93</v>
      </c>
      <c r="J196" s="18">
        <v>14448.14</v>
      </c>
      <c r="K196" s="18">
        <v>1498.48</v>
      </c>
      <c r="L196" s="19">
        <f>SUM(F196:K196)</f>
        <v>1706303.5999999996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415114.18</v>
      </c>
      <c r="G197" s="18">
        <v>159283.93</v>
      </c>
      <c r="H197" s="18">
        <v>132106.75</v>
      </c>
      <c r="I197" s="18">
        <v>1498.61</v>
      </c>
      <c r="J197" s="18">
        <v>2455.52</v>
      </c>
      <c r="K197" s="18"/>
      <c r="L197" s="19">
        <f>SUM(F197:K197)</f>
        <v>710458.99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38540.910000000003</v>
      </c>
      <c r="G199" s="18">
        <v>7388.35</v>
      </c>
      <c r="H199" s="18">
        <v>3000</v>
      </c>
      <c r="I199" s="18">
        <v>7987.39</v>
      </c>
      <c r="J199" s="18"/>
      <c r="K199" s="18">
        <v>250</v>
      </c>
      <c r="L199" s="19">
        <f>SUM(F199:K199)</f>
        <v>57166.65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55343.6</v>
      </c>
      <c r="G201" s="18">
        <v>27363.82</v>
      </c>
      <c r="H201" s="18">
        <v>189795.81</v>
      </c>
      <c r="I201" s="18">
        <v>8347.42</v>
      </c>
      <c r="J201" s="18"/>
      <c r="K201" s="18"/>
      <c r="L201" s="19">
        <f t="shared" ref="L201:L207" si="0">SUM(F201:K201)</f>
        <v>280850.64999999997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350</v>
      </c>
      <c r="G202" s="18">
        <v>22679.06</v>
      </c>
      <c r="H202" s="18">
        <v>38973</v>
      </c>
      <c r="I202" s="18">
        <v>6665.17</v>
      </c>
      <c r="J202" s="18"/>
      <c r="K202" s="18"/>
      <c r="L202" s="19">
        <f t="shared" si="0"/>
        <v>68667.23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6415</v>
      </c>
      <c r="G203" s="18">
        <v>458.86</v>
      </c>
      <c r="H203" s="18">
        <v>140563.79999999999</v>
      </c>
      <c r="I203" s="18">
        <v>221.43</v>
      </c>
      <c r="J203" s="18"/>
      <c r="K203" s="18">
        <v>4803.6000000000004</v>
      </c>
      <c r="L203" s="19">
        <f t="shared" si="0"/>
        <v>152462.68999999997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151267.97</v>
      </c>
      <c r="G204" s="18">
        <v>89471.46</v>
      </c>
      <c r="H204" s="18">
        <v>6218.72</v>
      </c>
      <c r="I204" s="18">
        <v>1545.76</v>
      </c>
      <c r="J204" s="18">
        <v>4252.76</v>
      </c>
      <c r="K204" s="18">
        <v>765.56</v>
      </c>
      <c r="L204" s="19">
        <f t="shared" si="0"/>
        <v>253522.23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228</v>
      </c>
      <c r="I205" s="18"/>
      <c r="J205" s="18"/>
      <c r="K205" s="18"/>
      <c r="L205" s="19">
        <f t="shared" si="0"/>
        <v>228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91520.04</v>
      </c>
      <c r="G206" s="18">
        <v>22216.31</v>
      </c>
      <c r="H206" s="18">
        <v>67935.91</v>
      </c>
      <c r="I206" s="18">
        <v>102406.13</v>
      </c>
      <c r="J206" s="18">
        <v>26955.86</v>
      </c>
      <c r="K206" s="18"/>
      <c r="L206" s="19">
        <f t="shared" si="0"/>
        <v>311034.25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123100.28</v>
      </c>
      <c r="I207" s="18"/>
      <c r="J207" s="18"/>
      <c r="K207" s="18"/>
      <c r="L207" s="19">
        <f t="shared" si="0"/>
        <v>123100.28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1851134.46</v>
      </c>
      <c r="G210" s="41">
        <f t="shared" si="1"/>
        <v>855780.16</v>
      </c>
      <c r="H210" s="41">
        <f t="shared" si="1"/>
        <v>713380.19</v>
      </c>
      <c r="I210" s="41">
        <f t="shared" si="1"/>
        <v>188069.84</v>
      </c>
      <c r="J210" s="41">
        <f t="shared" si="1"/>
        <v>48112.28</v>
      </c>
      <c r="K210" s="41">
        <f t="shared" si="1"/>
        <v>7317.6399999999994</v>
      </c>
      <c r="L210" s="41">
        <f t="shared" si="1"/>
        <v>3663794.5699999994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1851134.46</v>
      </c>
      <c r="G256" s="41">
        <f t="shared" si="8"/>
        <v>855780.16</v>
      </c>
      <c r="H256" s="41">
        <f t="shared" si="8"/>
        <v>713380.19</v>
      </c>
      <c r="I256" s="41">
        <f t="shared" si="8"/>
        <v>188069.84</v>
      </c>
      <c r="J256" s="41">
        <f t="shared" si="8"/>
        <v>48112.28</v>
      </c>
      <c r="K256" s="41">
        <f t="shared" si="8"/>
        <v>7317.6399999999994</v>
      </c>
      <c r="L256" s="41">
        <f t="shared" si="8"/>
        <v>3663794.5699999994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277400</v>
      </c>
      <c r="L259" s="19">
        <f>SUM(F259:K259)</f>
        <v>277400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23671.46</v>
      </c>
      <c r="L260" s="19">
        <f>SUM(F260:K260)</f>
        <v>23671.46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43674.73</v>
      </c>
      <c r="L262" s="19">
        <f>SUM(F262:K262)</f>
        <v>43674.73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344746.19</v>
      </c>
      <c r="L269" s="41">
        <f t="shared" si="9"/>
        <v>344746.19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1851134.46</v>
      </c>
      <c r="G270" s="42">
        <f t="shared" si="11"/>
        <v>855780.16</v>
      </c>
      <c r="H270" s="42">
        <f t="shared" si="11"/>
        <v>713380.19</v>
      </c>
      <c r="I270" s="42">
        <f t="shared" si="11"/>
        <v>188069.84</v>
      </c>
      <c r="J270" s="42">
        <f t="shared" si="11"/>
        <v>48112.28</v>
      </c>
      <c r="K270" s="42">
        <f t="shared" si="11"/>
        <v>352063.83</v>
      </c>
      <c r="L270" s="42">
        <f t="shared" si="11"/>
        <v>4008540.7599999993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1649.85</v>
      </c>
      <c r="J275" s="18">
        <v>34058.35</v>
      </c>
      <c r="K275" s="18"/>
      <c r="L275" s="19">
        <f>SUM(F275:K275)</f>
        <v>35708.199999999997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4950</v>
      </c>
      <c r="G281" s="18">
        <v>929.31</v>
      </c>
      <c r="H281" s="18"/>
      <c r="I281" s="18"/>
      <c r="J281" s="18"/>
      <c r="K281" s="18"/>
      <c r="L281" s="19">
        <f t="shared" si="12"/>
        <v>5879.3099999999995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4950</v>
      </c>
      <c r="G289" s="42">
        <f t="shared" si="13"/>
        <v>929.31</v>
      </c>
      <c r="H289" s="42">
        <f t="shared" si="13"/>
        <v>0</v>
      </c>
      <c r="I289" s="42">
        <f t="shared" si="13"/>
        <v>1649.85</v>
      </c>
      <c r="J289" s="42">
        <f t="shared" si="13"/>
        <v>34058.35</v>
      </c>
      <c r="K289" s="42">
        <f t="shared" si="13"/>
        <v>0</v>
      </c>
      <c r="L289" s="41">
        <f t="shared" si="13"/>
        <v>41587.509999999995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4950</v>
      </c>
      <c r="G337" s="41">
        <f t="shared" si="20"/>
        <v>929.31</v>
      </c>
      <c r="H337" s="41">
        <f t="shared" si="20"/>
        <v>0</v>
      </c>
      <c r="I337" s="41">
        <f t="shared" si="20"/>
        <v>1649.85</v>
      </c>
      <c r="J337" s="41">
        <f t="shared" si="20"/>
        <v>34058.35</v>
      </c>
      <c r="K337" s="41">
        <f t="shared" si="20"/>
        <v>0</v>
      </c>
      <c r="L337" s="41">
        <f t="shared" si="20"/>
        <v>41587.509999999995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4950</v>
      </c>
      <c r="G351" s="41">
        <f>G337</f>
        <v>929.31</v>
      </c>
      <c r="H351" s="41">
        <f>H337</f>
        <v>0</v>
      </c>
      <c r="I351" s="41">
        <f>I337</f>
        <v>1649.85</v>
      </c>
      <c r="J351" s="41">
        <f>J337</f>
        <v>34058.35</v>
      </c>
      <c r="K351" s="47">
        <f>K337+K350</f>
        <v>0</v>
      </c>
      <c r="L351" s="41">
        <f>L337+L350</f>
        <v>41587.509999999995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41351.599999999999</v>
      </c>
      <c r="G357" s="18">
        <v>24540.73</v>
      </c>
      <c r="H357" s="18">
        <v>697.64</v>
      </c>
      <c r="I357" s="18">
        <v>38643.97</v>
      </c>
      <c r="J357" s="18"/>
      <c r="K357" s="18">
        <v>1327.25</v>
      </c>
      <c r="L357" s="13">
        <f>SUM(F357:K357)</f>
        <v>106561.19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41351.599999999999</v>
      </c>
      <c r="G361" s="47">
        <f t="shared" si="22"/>
        <v>24540.73</v>
      </c>
      <c r="H361" s="47">
        <f t="shared" si="22"/>
        <v>697.64</v>
      </c>
      <c r="I361" s="47">
        <f t="shared" si="22"/>
        <v>38643.97</v>
      </c>
      <c r="J361" s="47">
        <f t="shared" si="22"/>
        <v>0</v>
      </c>
      <c r="K361" s="47">
        <f t="shared" si="22"/>
        <v>1327.25</v>
      </c>
      <c r="L361" s="47">
        <f t="shared" si="22"/>
        <v>106561.19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37507.300000000003</v>
      </c>
      <c r="G366" s="18"/>
      <c r="H366" s="18"/>
      <c r="I366" s="56">
        <f>SUM(F366:H366)</f>
        <v>37507.300000000003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1136.67</v>
      </c>
      <c r="G367" s="63"/>
      <c r="H367" s="63"/>
      <c r="I367" s="56">
        <f>SUM(F367:H367)</f>
        <v>1136.67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38643.97</v>
      </c>
      <c r="G368" s="47">
        <f>SUM(G366:G367)</f>
        <v>0</v>
      </c>
      <c r="H368" s="47">
        <f>SUM(H366:H367)</f>
        <v>0</v>
      </c>
      <c r="I368" s="47">
        <f>SUM(I366:I367)</f>
        <v>38643.97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3.41</v>
      </c>
      <c r="I388" s="18"/>
      <c r="J388" s="24" t="s">
        <v>289</v>
      </c>
      <c r="K388" s="24" t="s">
        <v>289</v>
      </c>
      <c r="L388" s="56">
        <f t="shared" si="25"/>
        <v>3.41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3.41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3.41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3.41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3.41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1142.97</v>
      </c>
      <c r="G439" s="18"/>
      <c r="H439" s="18"/>
      <c r="I439" s="56">
        <f t="shared" si="33"/>
        <v>1142.97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1142.97</v>
      </c>
      <c r="G445" s="13">
        <f>SUM(G438:G444)</f>
        <v>0</v>
      </c>
      <c r="H445" s="13">
        <f>SUM(H438:H444)</f>
        <v>0</v>
      </c>
      <c r="I445" s="13">
        <f>SUM(I438:I444)</f>
        <v>1142.97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1142.97</v>
      </c>
      <c r="G458" s="18"/>
      <c r="H458" s="18"/>
      <c r="I458" s="56">
        <f t="shared" si="34"/>
        <v>1142.97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1142.97</v>
      </c>
      <c r="G459" s="83">
        <f>SUM(G453:G458)</f>
        <v>0</v>
      </c>
      <c r="H459" s="83">
        <f>SUM(H453:H458)</f>
        <v>0</v>
      </c>
      <c r="I459" s="83">
        <f>SUM(I453:I458)</f>
        <v>1142.97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1142.97</v>
      </c>
      <c r="G460" s="42">
        <f>G451+G459</f>
        <v>0</v>
      </c>
      <c r="H460" s="42">
        <f>H451+H459</f>
        <v>0</v>
      </c>
      <c r="I460" s="42">
        <f>I451+I459</f>
        <v>1142.97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138757.18</v>
      </c>
      <c r="G464" s="18"/>
      <c r="H464" s="18">
        <v>3756.8</v>
      </c>
      <c r="I464" s="18"/>
      <c r="J464" s="18">
        <v>1139.56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4049829.07</v>
      </c>
      <c r="G467" s="18">
        <v>106561.19</v>
      </c>
      <c r="H467" s="18">
        <v>41587.51</v>
      </c>
      <c r="I467" s="18"/>
      <c r="J467" s="18">
        <v>3.41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4049829.07</v>
      </c>
      <c r="G469" s="53">
        <f>SUM(G467:G468)</f>
        <v>106561.19</v>
      </c>
      <c r="H469" s="53">
        <f>SUM(H467:H468)</f>
        <v>41587.51</v>
      </c>
      <c r="I469" s="53">
        <f>SUM(I467:I468)</f>
        <v>0</v>
      </c>
      <c r="J469" s="53">
        <f>SUM(J467:J468)</f>
        <v>3.41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4008540.76</v>
      </c>
      <c r="G471" s="18">
        <v>106561.19</v>
      </c>
      <c r="H471" s="18">
        <v>41587.51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4008540.76</v>
      </c>
      <c r="G473" s="53">
        <f>SUM(G471:G472)</f>
        <v>106561.19</v>
      </c>
      <c r="H473" s="53">
        <f>SUM(H471:H472)</f>
        <v>41587.51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180045.49000000022</v>
      </c>
      <c r="G475" s="53">
        <f>(G464+G469)- G473</f>
        <v>0</v>
      </c>
      <c r="H475" s="53">
        <f>(H464+H469)- H473</f>
        <v>3756.8000000000029</v>
      </c>
      <c r="I475" s="53">
        <f>(I464+I469)- I473</f>
        <v>0</v>
      </c>
      <c r="J475" s="53">
        <f>(J464+J469)- J473</f>
        <v>1142.97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1387000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1109600</v>
      </c>
      <c r="G494" s="18"/>
      <c r="H494" s="18"/>
      <c r="I494" s="18"/>
      <c r="J494" s="18"/>
      <c r="K494" s="53">
        <f>SUM(F494:J494)</f>
        <v>1109600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277400</v>
      </c>
      <c r="G496" s="18"/>
      <c r="H496" s="18"/>
      <c r="I496" s="18"/>
      <c r="J496" s="18"/>
      <c r="K496" s="53">
        <f t="shared" si="35"/>
        <v>277400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832200</v>
      </c>
      <c r="G497" s="204"/>
      <c r="H497" s="204"/>
      <c r="I497" s="204"/>
      <c r="J497" s="204"/>
      <c r="K497" s="205">
        <f t="shared" si="35"/>
        <v>832200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30293</v>
      </c>
      <c r="G498" s="18"/>
      <c r="H498" s="18"/>
      <c r="I498" s="18"/>
      <c r="J498" s="18"/>
      <c r="K498" s="53">
        <f t="shared" si="35"/>
        <v>30293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862493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862493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277400</v>
      </c>
      <c r="G500" s="204"/>
      <c r="H500" s="204"/>
      <c r="I500" s="204"/>
      <c r="J500" s="204"/>
      <c r="K500" s="205">
        <f t="shared" si="35"/>
        <v>277400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16848</v>
      </c>
      <c r="G501" s="18"/>
      <c r="H501" s="18"/>
      <c r="I501" s="18"/>
      <c r="J501" s="18"/>
      <c r="K501" s="53">
        <f t="shared" si="35"/>
        <v>16848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294248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294248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415114.18</v>
      </c>
      <c r="G520" s="18">
        <v>149333.92000000001</v>
      </c>
      <c r="H520" s="18">
        <v>132106.75</v>
      </c>
      <c r="I520" s="18">
        <v>1498.61</v>
      </c>
      <c r="J520" s="18">
        <v>2455.52</v>
      </c>
      <c r="K520" s="18"/>
      <c r="L520" s="88">
        <f>SUM(F520:K520)</f>
        <v>700508.98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415114.18</v>
      </c>
      <c r="G523" s="108">
        <f t="shared" ref="G523:L523" si="36">SUM(G520:G522)</f>
        <v>149333.92000000001</v>
      </c>
      <c r="H523" s="108">
        <f t="shared" si="36"/>
        <v>132106.75</v>
      </c>
      <c r="I523" s="108">
        <f t="shared" si="36"/>
        <v>1498.61</v>
      </c>
      <c r="J523" s="108">
        <f t="shared" si="36"/>
        <v>2455.52</v>
      </c>
      <c r="K523" s="108">
        <f t="shared" si="36"/>
        <v>0</v>
      </c>
      <c r="L523" s="89">
        <f t="shared" si="36"/>
        <v>700508.98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13516.1</v>
      </c>
      <c r="G525" s="18">
        <v>3406.41</v>
      </c>
      <c r="H525" s="18">
        <v>121830.51</v>
      </c>
      <c r="I525" s="18">
        <v>4418.5200000000004</v>
      </c>
      <c r="J525" s="18"/>
      <c r="K525" s="18"/>
      <c r="L525" s="88">
        <f>SUM(F525:K525)</f>
        <v>143171.53999999998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13516.1</v>
      </c>
      <c r="G528" s="89">
        <f t="shared" ref="G528:L528" si="37">SUM(G525:G527)</f>
        <v>3406.41</v>
      </c>
      <c r="H528" s="89">
        <f t="shared" si="37"/>
        <v>121830.51</v>
      </c>
      <c r="I528" s="89">
        <f t="shared" si="37"/>
        <v>4418.5200000000004</v>
      </c>
      <c r="J528" s="89">
        <f t="shared" si="37"/>
        <v>0</v>
      </c>
      <c r="K528" s="89">
        <f t="shared" si="37"/>
        <v>0</v>
      </c>
      <c r="L528" s="89">
        <f t="shared" si="37"/>
        <v>143171.53999999998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10707.63</v>
      </c>
      <c r="G530" s="18">
        <v>4621.6499999999996</v>
      </c>
      <c r="H530" s="18">
        <v>163.72999999999999</v>
      </c>
      <c r="I530" s="18"/>
      <c r="J530" s="18"/>
      <c r="K530" s="18"/>
      <c r="L530" s="88">
        <f>SUM(F530:K530)</f>
        <v>15493.009999999998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10707.63</v>
      </c>
      <c r="G533" s="89">
        <f t="shared" ref="G533:L533" si="38">SUM(G530:G532)</f>
        <v>4621.6499999999996</v>
      </c>
      <c r="H533" s="89">
        <f t="shared" si="38"/>
        <v>163.72999999999999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15493.009999999998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10345.280000000001</v>
      </c>
      <c r="I540" s="18"/>
      <c r="J540" s="18"/>
      <c r="K540" s="18"/>
      <c r="L540" s="88">
        <f>SUM(F540:K540)</f>
        <v>10345.280000000001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10345.280000000001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10345.280000000001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439337.91</v>
      </c>
      <c r="G544" s="89">
        <f t="shared" ref="G544:L544" si="41">G523+G528+G533+G538+G543</f>
        <v>157361.98000000001</v>
      </c>
      <c r="H544" s="89">
        <f t="shared" si="41"/>
        <v>264446.27</v>
      </c>
      <c r="I544" s="89">
        <f t="shared" si="41"/>
        <v>5917.13</v>
      </c>
      <c r="J544" s="89">
        <f t="shared" si="41"/>
        <v>2455.52</v>
      </c>
      <c r="K544" s="89">
        <f t="shared" si="41"/>
        <v>0</v>
      </c>
      <c r="L544" s="89">
        <f t="shared" si="41"/>
        <v>869518.81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700508.98</v>
      </c>
      <c r="G548" s="87">
        <f>L525</f>
        <v>143171.53999999998</v>
      </c>
      <c r="H548" s="87">
        <f>L530</f>
        <v>15493.009999999998</v>
      </c>
      <c r="I548" s="87">
        <f>L535</f>
        <v>0</v>
      </c>
      <c r="J548" s="87">
        <f>L540</f>
        <v>10345.280000000001</v>
      </c>
      <c r="K548" s="87">
        <f>SUM(F548:J548)</f>
        <v>869518.81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700508.98</v>
      </c>
      <c r="G551" s="89">
        <f t="shared" si="42"/>
        <v>143171.53999999998</v>
      </c>
      <c r="H551" s="89">
        <f t="shared" si="42"/>
        <v>15493.009999999998</v>
      </c>
      <c r="I551" s="89">
        <f t="shared" si="42"/>
        <v>0</v>
      </c>
      <c r="J551" s="89">
        <f t="shared" si="42"/>
        <v>10345.280000000001</v>
      </c>
      <c r="K551" s="89">
        <f t="shared" si="42"/>
        <v>869518.81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65394.74</v>
      </c>
      <c r="G578" s="18"/>
      <c r="H578" s="18"/>
      <c r="I578" s="87">
        <f t="shared" si="47"/>
        <v>65394.74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20695.18</v>
      </c>
      <c r="G581" s="18"/>
      <c r="H581" s="18"/>
      <c r="I581" s="87">
        <f t="shared" si="47"/>
        <v>20695.18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95075</v>
      </c>
      <c r="I590" s="18"/>
      <c r="J590" s="18"/>
      <c r="K590" s="104">
        <f t="shared" ref="K590:K596" si="48">SUM(H590:J590)</f>
        <v>95075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10345.280000000001</v>
      </c>
      <c r="I591" s="18"/>
      <c r="J591" s="18"/>
      <c r="K591" s="104">
        <f t="shared" si="48"/>
        <v>10345.280000000001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4980</v>
      </c>
      <c r="I593" s="18"/>
      <c r="J593" s="18"/>
      <c r="K593" s="104">
        <f t="shared" si="48"/>
        <v>4980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12700</v>
      </c>
      <c r="I594" s="18"/>
      <c r="J594" s="18"/>
      <c r="K594" s="104">
        <f t="shared" si="48"/>
        <v>12700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123100.28</v>
      </c>
      <c r="I597" s="108">
        <f>SUM(I590:I596)</f>
        <v>0</v>
      </c>
      <c r="J597" s="108">
        <f>SUM(J590:J596)</f>
        <v>0</v>
      </c>
      <c r="K597" s="108">
        <f>SUM(K590:K596)</f>
        <v>123100.28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82170.63</v>
      </c>
      <c r="I603" s="18"/>
      <c r="J603" s="18"/>
      <c r="K603" s="104">
        <f>SUM(H603:J603)</f>
        <v>82170.63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82170.63</v>
      </c>
      <c r="I604" s="108">
        <f>SUM(I601:I603)</f>
        <v>0</v>
      </c>
      <c r="J604" s="108">
        <f>SUM(J601:J603)</f>
        <v>0</v>
      </c>
      <c r="K604" s="108">
        <f>SUM(K601:K603)</f>
        <v>82170.63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230554.58</v>
      </c>
      <c r="H616" s="109">
        <f>SUM(F51)</f>
        <v>230554.58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2014.8899999999994</v>
      </c>
      <c r="H617" s="109">
        <f>SUM(G51)</f>
        <v>2014.89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3756.8000000000011</v>
      </c>
      <c r="H618" s="109">
        <f>SUM(H51)</f>
        <v>3756.8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1142.97</v>
      </c>
      <c r="H620" s="109">
        <f>SUM(J51)</f>
        <v>1142.97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180045.49</v>
      </c>
      <c r="H621" s="109">
        <f>F475</f>
        <v>180045.49000000022</v>
      </c>
      <c r="I621" s="121" t="s">
        <v>101</v>
      </c>
      <c r="J621" s="109">
        <f t="shared" ref="J621:J654" si="50">G621-H621</f>
        <v>-2.3283064365386963E-10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3756.8</v>
      </c>
      <c r="H623" s="109">
        <f>H475</f>
        <v>3756.8000000000029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1142.97</v>
      </c>
      <c r="H625" s="109">
        <f>J475</f>
        <v>1142.97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4049829.07</v>
      </c>
      <c r="H626" s="104">
        <f>SUM(F467)</f>
        <v>4049829.07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106561.19</v>
      </c>
      <c r="H627" s="104">
        <f>SUM(G467)</f>
        <v>106561.19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41587.509999999995</v>
      </c>
      <c r="H628" s="104">
        <f>SUM(H467)</f>
        <v>41587.51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3.41</v>
      </c>
      <c r="H630" s="104">
        <f>SUM(J467)</f>
        <v>3.41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4008540.7599999993</v>
      </c>
      <c r="H631" s="104">
        <f>SUM(F471)</f>
        <v>4008540.76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41587.509999999995</v>
      </c>
      <c r="H632" s="104">
        <f>SUM(H471)</f>
        <v>41587.51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38643.97</v>
      </c>
      <c r="H633" s="104">
        <f>I368</f>
        <v>38643.97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106561.19</v>
      </c>
      <c r="H634" s="104">
        <f>SUM(G471)</f>
        <v>106561.19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3.41</v>
      </c>
      <c r="H636" s="164">
        <f>SUM(J467)</f>
        <v>3.41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1142.97</v>
      </c>
      <c r="H638" s="104">
        <f>SUM(F460)</f>
        <v>1142.97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1142.97</v>
      </c>
      <c r="H641" s="104">
        <f>SUM(I460)</f>
        <v>1142.97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3.41</v>
      </c>
      <c r="H643" s="104">
        <f>H407</f>
        <v>3.41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3.41</v>
      </c>
      <c r="H645" s="104">
        <f>L407</f>
        <v>3.41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123100.28</v>
      </c>
      <c r="H646" s="104">
        <f>L207+L225+L243</f>
        <v>123100.28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82170.63</v>
      </c>
      <c r="H647" s="104">
        <f>(J256+J337)-(J254+J335)</f>
        <v>82170.63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123100.28</v>
      </c>
      <c r="H648" s="104">
        <f>H597</f>
        <v>123100.28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43674.73</v>
      </c>
      <c r="H651" s="104">
        <f>K262+K344</f>
        <v>43674.73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3811943.2699999991</v>
      </c>
      <c r="G659" s="19">
        <f>(L228+L308+L358)</f>
        <v>0</v>
      </c>
      <c r="H659" s="19">
        <f>(L246+L327+L359)</f>
        <v>0</v>
      </c>
      <c r="I659" s="19">
        <f>SUM(F659:H659)</f>
        <v>3811943.2699999991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26229.97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26229.97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123100.28</v>
      </c>
      <c r="G661" s="19">
        <f>(L225+L305)-(J225+J305)</f>
        <v>0</v>
      </c>
      <c r="H661" s="19">
        <f>(L243+L324)-(J243+J324)</f>
        <v>0</v>
      </c>
      <c r="I661" s="19">
        <f>SUM(F661:H661)</f>
        <v>123100.28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168260.55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168260.55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3494352.4699999993</v>
      </c>
      <c r="G663" s="19">
        <f>G659-SUM(G660:G662)</f>
        <v>0</v>
      </c>
      <c r="H663" s="19">
        <f>H659-SUM(H660:H662)</f>
        <v>0</v>
      </c>
      <c r="I663" s="19">
        <f>I659-SUM(I660:I662)</f>
        <v>3494352.4699999993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218.38</v>
      </c>
      <c r="G664" s="248"/>
      <c r="H664" s="248"/>
      <c r="I664" s="19">
        <f>SUM(F664:H664)</f>
        <v>218.38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16001.25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16001.25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16001.25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16001.25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THORNTON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1092582.76</v>
      </c>
      <c r="C9" s="229">
        <f>'DOE25'!G196+'DOE25'!G214+'DOE25'!G232+'DOE25'!G275+'DOE25'!G294+'DOE25'!G313</f>
        <v>526918.37</v>
      </c>
    </row>
    <row r="10" spans="1:3" x14ac:dyDescent="0.2">
      <c r="A10" t="s">
        <v>779</v>
      </c>
      <c r="B10" s="240">
        <v>1071924.1499999999</v>
      </c>
      <c r="C10" s="240">
        <v>525034.76</v>
      </c>
    </row>
    <row r="11" spans="1:3" x14ac:dyDescent="0.2">
      <c r="A11" t="s">
        <v>780</v>
      </c>
      <c r="B11" s="240"/>
      <c r="C11" s="240">
        <v>1883.61</v>
      </c>
    </row>
    <row r="12" spans="1:3" x14ac:dyDescent="0.2">
      <c r="A12" t="s">
        <v>781</v>
      </c>
      <c r="B12" s="240">
        <v>20658.61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1092582.76</v>
      </c>
      <c r="C13" s="231">
        <f>SUM(C10:C12)</f>
        <v>526918.37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415114.18</v>
      </c>
      <c r="C18" s="229">
        <f>'DOE25'!G197+'DOE25'!G215+'DOE25'!G233+'DOE25'!G276+'DOE25'!G295+'DOE25'!G314</f>
        <v>159283.93</v>
      </c>
    </row>
    <row r="19" spans="1:3" x14ac:dyDescent="0.2">
      <c r="A19" t="s">
        <v>779</v>
      </c>
      <c r="B19" s="240">
        <v>132186</v>
      </c>
      <c r="C19" s="240">
        <v>71489.279999999999</v>
      </c>
    </row>
    <row r="20" spans="1:3" x14ac:dyDescent="0.2">
      <c r="A20" t="s">
        <v>780</v>
      </c>
      <c r="B20" s="240">
        <v>263646.18</v>
      </c>
      <c r="C20" s="240">
        <v>74996.5</v>
      </c>
    </row>
    <row r="21" spans="1:3" x14ac:dyDescent="0.2">
      <c r="A21" t="s">
        <v>781</v>
      </c>
      <c r="B21" s="240">
        <v>19282</v>
      </c>
      <c r="C21" s="240">
        <v>12798.15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415114.18</v>
      </c>
      <c r="C22" s="231">
        <f>SUM(C19:C21)</f>
        <v>159283.93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38540.910000000003</v>
      </c>
      <c r="C36" s="235">
        <f>'DOE25'!G199+'DOE25'!G217+'DOE25'!G235+'DOE25'!G278+'DOE25'!G297+'DOE25'!G316</f>
        <v>7388.35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38540.910000000003</v>
      </c>
      <c r="C39" s="240">
        <v>7388.35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38540.910000000003</v>
      </c>
      <c r="C40" s="231">
        <f>SUM(C37:C39)</f>
        <v>7388.35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THORNTON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2473929.2399999998</v>
      </c>
      <c r="D5" s="20">
        <f>SUM('DOE25'!L196:L199)+SUM('DOE25'!L214:L217)+SUM('DOE25'!L232:L235)-F5-G5</f>
        <v>2455277.0999999996</v>
      </c>
      <c r="E5" s="243"/>
      <c r="F5" s="255">
        <f>SUM('DOE25'!J196:J199)+SUM('DOE25'!J214:J217)+SUM('DOE25'!J232:J235)</f>
        <v>16903.66</v>
      </c>
      <c r="G5" s="53">
        <f>SUM('DOE25'!K196:K199)+SUM('DOE25'!K214:K217)+SUM('DOE25'!K232:K235)</f>
        <v>1748.48</v>
      </c>
      <c r="H5" s="259"/>
    </row>
    <row r="6" spans="1:9" x14ac:dyDescent="0.2">
      <c r="A6" s="32">
        <v>2100</v>
      </c>
      <c r="B6" t="s">
        <v>801</v>
      </c>
      <c r="C6" s="245">
        <f t="shared" si="0"/>
        <v>280850.64999999997</v>
      </c>
      <c r="D6" s="20">
        <f>'DOE25'!L201+'DOE25'!L219+'DOE25'!L237-F6-G6</f>
        <v>280850.64999999997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68667.23</v>
      </c>
      <c r="D7" s="20">
        <f>'DOE25'!L202+'DOE25'!L220+'DOE25'!L238-F7-G7</f>
        <v>68667.23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78607.089999999967</v>
      </c>
      <c r="D8" s="243"/>
      <c r="E8" s="20">
        <f>'DOE25'!L203+'DOE25'!L221+'DOE25'!L239-F8-G8-D9-D11</f>
        <v>73803.489999999962</v>
      </c>
      <c r="F8" s="255">
        <f>'DOE25'!J203+'DOE25'!J221+'DOE25'!J239</f>
        <v>0</v>
      </c>
      <c r="G8" s="53">
        <f>'DOE25'!K203+'DOE25'!K221+'DOE25'!K239</f>
        <v>4803.6000000000004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21071.69</v>
      </c>
      <c r="D9" s="244">
        <v>21071.69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52783.91</v>
      </c>
      <c r="D11" s="244">
        <v>52783.91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253522.23</v>
      </c>
      <c r="D12" s="20">
        <f>'DOE25'!L204+'DOE25'!L222+'DOE25'!L240-F12-G12</f>
        <v>248503.91</v>
      </c>
      <c r="E12" s="243"/>
      <c r="F12" s="255">
        <f>'DOE25'!J204+'DOE25'!J222+'DOE25'!J240</f>
        <v>4252.76</v>
      </c>
      <c r="G12" s="53">
        <f>'DOE25'!K204+'DOE25'!K222+'DOE25'!K240</f>
        <v>765.56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228</v>
      </c>
      <c r="D13" s="243"/>
      <c r="E13" s="20">
        <f>'DOE25'!L205+'DOE25'!L223+'DOE25'!L241-F13-G13</f>
        <v>228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311034.25</v>
      </c>
      <c r="D14" s="20">
        <f>'DOE25'!L206+'DOE25'!L224+'DOE25'!L242-F14-G14</f>
        <v>284078.39</v>
      </c>
      <c r="E14" s="243"/>
      <c r="F14" s="255">
        <f>'DOE25'!J206+'DOE25'!J224+'DOE25'!J242</f>
        <v>26955.86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123100.28</v>
      </c>
      <c r="D15" s="20">
        <f>'DOE25'!L207+'DOE25'!L225+'DOE25'!L243-F15-G15</f>
        <v>123100.28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301071.46000000002</v>
      </c>
      <c r="D25" s="243"/>
      <c r="E25" s="243"/>
      <c r="F25" s="258"/>
      <c r="G25" s="256"/>
      <c r="H25" s="257">
        <f>'DOE25'!L259+'DOE25'!L260+'DOE25'!L340+'DOE25'!L341</f>
        <v>301071.46000000002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69053.89</v>
      </c>
      <c r="D29" s="20">
        <f>'DOE25'!L357+'DOE25'!L358+'DOE25'!L359-'DOE25'!I366-F29-G29</f>
        <v>67726.64</v>
      </c>
      <c r="E29" s="243"/>
      <c r="F29" s="255">
        <f>'DOE25'!J357+'DOE25'!J358+'DOE25'!J359</f>
        <v>0</v>
      </c>
      <c r="G29" s="53">
        <f>'DOE25'!K357+'DOE25'!K358+'DOE25'!K359</f>
        <v>1327.25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41587.509999999995</v>
      </c>
      <c r="D31" s="20">
        <f>'DOE25'!L289+'DOE25'!L308+'DOE25'!L327+'DOE25'!L332+'DOE25'!L333+'DOE25'!L334-F31-G31</f>
        <v>7529.1599999999962</v>
      </c>
      <c r="E31" s="243"/>
      <c r="F31" s="255">
        <f>'DOE25'!J289+'DOE25'!J308+'DOE25'!J327+'DOE25'!J332+'DOE25'!J333+'DOE25'!J334</f>
        <v>34058.35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3609588.96</v>
      </c>
      <c r="E33" s="246">
        <f>SUM(E5:E31)</f>
        <v>78031.489999999962</v>
      </c>
      <c r="F33" s="246">
        <f>SUM(F5:F31)</f>
        <v>82170.63</v>
      </c>
      <c r="G33" s="246">
        <f>SUM(G5:G31)</f>
        <v>8644.89</v>
      </c>
      <c r="H33" s="246">
        <f>SUM(H5:H31)</f>
        <v>301071.46000000002</v>
      </c>
    </row>
    <row r="35" spans="2:8" ht="12" thickBot="1" x14ac:dyDescent="0.25">
      <c r="B35" s="253" t="s">
        <v>847</v>
      </c>
      <c r="D35" s="254">
        <f>E33</f>
        <v>78031.489999999962</v>
      </c>
      <c r="E35" s="249"/>
    </row>
    <row r="36" spans="2:8" ht="12" thickTop="1" x14ac:dyDescent="0.2">
      <c r="B36" t="s">
        <v>815</v>
      </c>
      <c r="D36" s="20">
        <f>D33</f>
        <v>3609588.96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203713.09</v>
      </c>
      <c r="D8" s="95">
        <f>'DOE25'!G9</f>
        <v>-5360.56</v>
      </c>
      <c r="E8" s="95">
        <f>'DOE25'!H9</f>
        <v>-7220.65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1142.97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14315.78</v>
      </c>
      <c r="D12" s="95">
        <f>'DOE25'!G13</f>
        <v>7375.45</v>
      </c>
      <c r="E12" s="95">
        <f>'DOE25'!H13</f>
        <v>10977.45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11850.71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230554.58</v>
      </c>
      <c r="D18" s="41">
        <f>SUM(D8:D17)</f>
        <v>2014.8899999999994</v>
      </c>
      <c r="E18" s="41">
        <f>SUM(E8:E17)</f>
        <v>3756.8000000000011</v>
      </c>
      <c r="F18" s="41">
        <f>SUM(F8:F17)</f>
        <v>0</v>
      </c>
      <c r="G18" s="41">
        <f>SUM(G8:G17)</f>
        <v>1142.97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50509.09</v>
      </c>
      <c r="D23" s="95">
        <f>'DOE25'!G24</f>
        <v>831.47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1183.42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50509.09</v>
      </c>
      <c r="D31" s="41">
        <f>SUM(D21:D30)</f>
        <v>2014.89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112045.49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3756.8</v>
      </c>
      <c r="F46" s="95">
        <f>'DOE25'!I47</f>
        <v>0</v>
      </c>
      <c r="G46" s="95">
        <f>'DOE25'!J47</f>
        <v>1142.97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68000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180045.49</v>
      </c>
      <c r="D49" s="41">
        <f>SUM(D34:D48)</f>
        <v>0</v>
      </c>
      <c r="E49" s="41">
        <f>SUM(E34:E48)</f>
        <v>3756.8</v>
      </c>
      <c r="F49" s="41">
        <f>SUM(F34:F48)</f>
        <v>0</v>
      </c>
      <c r="G49" s="41">
        <f>SUM(G34:G48)</f>
        <v>1142.97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230554.58</v>
      </c>
      <c r="D50" s="41">
        <f>D49+D31</f>
        <v>2014.89</v>
      </c>
      <c r="E50" s="41">
        <f>E49+E31</f>
        <v>3756.8</v>
      </c>
      <c r="F50" s="41">
        <f>F49+F31</f>
        <v>0</v>
      </c>
      <c r="G50" s="41">
        <f>G49+G31</f>
        <v>1142.97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2861800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145.15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3.41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26229.97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76524.960000000006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76670.11</v>
      </c>
      <c r="D61" s="130">
        <f>SUM(D56:D60)</f>
        <v>26229.97</v>
      </c>
      <c r="E61" s="130">
        <f>SUM(E56:E60)</f>
        <v>0</v>
      </c>
      <c r="F61" s="130">
        <f>SUM(F56:F60)</f>
        <v>0</v>
      </c>
      <c r="G61" s="130">
        <f>SUM(G56:G60)</f>
        <v>3.41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2938470.11</v>
      </c>
      <c r="D62" s="22">
        <f>D55+D61</f>
        <v>26229.97</v>
      </c>
      <c r="E62" s="22">
        <f>E55+E61</f>
        <v>0</v>
      </c>
      <c r="F62" s="22">
        <f>F55+F61</f>
        <v>0</v>
      </c>
      <c r="G62" s="22">
        <f>G55+G61</f>
        <v>3.41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355940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581377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937317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91020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834.05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91020</v>
      </c>
      <c r="D77" s="130">
        <f>SUM(D71:D76)</f>
        <v>834.05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1028337</v>
      </c>
      <c r="D80" s="130">
        <f>SUM(D78:D79)+D77+D69</f>
        <v>834.05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21138.78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72725.929999999993</v>
      </c>
      <c r="D87" s="95">
        <f>SUM('DOE25'!G152:G160)</f>
        <v>35822.44</v>
      </c>
      <c r="E87" s="95">
        <f>SUM('DOE25'!H152:H160)</f>
        <v>20448.73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10296.030000000001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83021.959999999992</v>
      </c>
      <c r="D90" s="131">
        <f>SUM(D84:D89)</f>
        <v>35822.44</v>
      </c>
      <c r="E90" s="131">
        <f>SUM(E84:E89)</f>
        <v>41587.509999999995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43674.73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43674.73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4049829.07</v>
      </c>
      <c r="D103" s="86">
        <f>D62+D80+D90+D102</f>
        <v>106561.19</v>
      </c>
      <c r="E103" s="86">
        <f>E62+E80+E90+E102</f>
        <v>41587.509999999995</v>
      </c>
      <c r="F103" s="86">
        <f>F62+F80+F90+F102</f>
        <v>0</v>
      </c>
      <c r="G103" s="86">
        <f>G62+G80+G102</f>
        <v>3.41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1706303.5999999996</v>
      </c>
      <c r="D108" s="24" t="s">
        <v>289</v>
      </c>
      <c r="E108" s="95">
        <f>('DOE25'!L275)+('DOE25'!L294)+('DOE25'!L313)</f>
        <v>35708.199999999997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710458.99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57166.65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2473929.2399999998</v>
      </c>
      <c r="D114" s="86">
        <f>SUM(D108:D113)</f>
        <v>0</v>
      </c>
      <c r="E114" s="86">
        <f>SUM(E108:E113)</f>
        <v>35708.199999999997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280850.64999999997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68667.23</v>
      </c>
      <c r="D118" s="24" t="s">
        <v>289</v>
      </c>
      <c r="E118" s="95">
        <f>+('DOE25'!L281)+('DOE25'!L300)+('DOE25'!L319)</f>
        <v>5879.3099999999995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152462.68999999997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253522.23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228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311034.25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123100.28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106561.19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1189865.3299999998</v>
      </c>
      <c r="D127" s="86">
        <f>SUM(D117:D126)</f>
        <v>106561.19</v>
      </c>
      <c r="E127" s="86">
        <f>SUM(E117:E126)</f>
        <v>5879.3099999999995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277400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23671.46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43674.73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3.41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-3.41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344746.19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4008540.7599999993</v>
      </c>
      <c r="D144" s="86">
        <f>(D114+D127+D143)</f>
        <v>106561.19</v>
      </c>
      <c r="E144" s="86">
        <f>(E114+E127+E143)</f>
        <v>41587.509999999995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1387000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1109600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1109600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277400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277400</v>
      </c>
    </row>
    <row r="158" spans="1:9" x14ac:dyDescent="0.2">
      <c r="A158" s="22" t="s">
        <v>35</v>
      </c>
      <c r="B158" s="137">
        <f>'DOE25'!F497</f>
        <v>832200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832200</v>
      </c>
    </row>
    <row r="159" spans="1:9" x14ac:dyDescent="0.2">
      <c r="A159" s="22" t="s">
        <v>36</v>
      </c>
      <c r="B159" s="137">
        <f>'DOE25'!F498</f>
        <v>30293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30293</v>
      </c>
    </row>
    <row r="160" spans="1:9" x14ac:dyDescent="0.2">
      <c r="A160" s="22" t="s">
        <v>37</v>
      </c>
      <c r="B160" s="137">
        <f>'DOE25'!F499</f>
        <v>862493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862493</v>
      </c>
    </row>
    <row r="161" spans="1:7" x14ac:dyDescent="0.2">
      <c r="A161" s="22" t="s">
        <v>38</v>
      </c>
      <c r="B161" s="137">
        <f>'DOE25'!F500</f>
        <v>277400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277400</v>
      </c>
    </row>
    <row r="162" spans="1:7" x14ac:dyDescent="0.2">
      <c r="A162" s="22" t="s">
        <v>39</v>
      </c>
      <c r="B162" s="137">
        <f>'DOE25'!F501</f>
        <v>16848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16848</v>
      </c>
    </row>
    <row r="163" spans="1:7" x14ac:dyDescent="0.2">
      <c r="A163" s="22" t="s">
        <v>246</v>
      </c>
      <c r="B163" s="137">
        <f>'DOE25'!F502</f>
        <v>294248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294248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THORNTON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16001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16001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1742012</v>
      </c>
      <c r="D10" s="182">
        <f>ROUND((C10/$C$28)*100,1)</f>
        <v>45.7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710459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57167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280851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74547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152463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253522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228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311034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123100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23671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80331.03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3809385.03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3809385.03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277400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2861800</v>
      </c>
      <c r="D35" s="182">
        <f t="shared" ref="D35:D40" si="1">ROUND((C35/$C$41)*100,1)</f>
        <v>69.3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76673.520000000019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937317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91854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160432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4128076.52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THORNTON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2013-08-29T15:31:24Z</cp:lastPrinted>
  <dcterms:created xsi:type="dcterms:W3CDTF">1997-12-04T19:04:30Z</dcterms:created>
  <dcterms:modified xsi:type="dcterms:W3CDTF">2013-10-03T17:23:48Z</dcterms:modified>
</cp:coreProperties>
</file>