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-195" yWindow="195" windowWidth="1249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F664" i="1" l="1"/>
  <c r="F56" i="1" l="1"/>
  <c r="J603" i="1" l="1"/>
  <c r="H471" i="1"/>
  <c r="H467" i="1"/>
  <c r="J316" i="1"/>
  <c r="H109" i="1"/>
  <c r="H47" i="1"/>
  <c r="D9" i="13" l="1"/>
  <c r="C39" i="12" l="1"/>
  <c r="C37" i="12"/>
  <c r="B39" i="12"/>
  <c r="C21" i="12"/>
  <c r="C20" i="12"/>
  <c r="C19" i="12"/>
  <c r="B21" i="12"/>
  <c r="B19" i="12"/>
  <c r="C12" i="12"/>
  <c r="C11" i="12"/>
  <c r="C10" i="12"/>
  <c r="B12" i="12"/>
  <c r="F334" i="1"/>
  <c r="G294" i="1"/>
  <c r="H22" i="1"/>
  <c r="H9" i="1"/>
  <c r="H581" i="1" l="1"/>
  <c r="H568" i="1"/>
  <c r="G567" i="1"/>
  <c r="I567" i="1"/>
  <c r="G566" i="1"/>
  <c r="F566" i="1"/>
  <c r="I232" i="1" l="1"/>
  <c r="H254" i="1"/>
  <c r="H158" i="1" l="1"/>
  <c r="H154" i="1"/>
  <c r="H153" i="1"/>
  <c r="G96" i="1"/>
  <c r="G157" i="1"/>
  <c r="F109" i="1"/>
  <c r="F6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21" i="2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1" i="10"/>
  <c r="C12" i="10"/>
  <c r="C13" i="10"/>
  <c r="C18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0" i="2"/>
  <c r="E110" i="2"/>
  <c r="C111" i="2"/>
  <c r="C112" i="2"/>
  <c r="E112" i="2"/>
  <c r="C113" i="2"/>
  <c r="E113" i="2"/>
  <c r="D114" i="2"/>
  <c r="F114" i="2"/>
  <c r="G114" i="2"/>
  <c r="E117" i="2"/>
  <c r="E118" i="2"/>
  <c r="C119" i="2"/>
  <c r="E119" i="2"/>
  <c r="C120" i="2"/>
  <c r="E120" i="2"/>
  <c r="E121" i="2"/>
  <c r="E122" i="2"/>
  <c r="C123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G544" i="1" s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K597" i="1" s="1"/>
  <c r="G646" i="1" s="1"/>
  <c r="J646" i="1" s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J638" i="1" s="1"/>
  <c r="G639" i="1"/>
  <c r="H639" i="1"/>
  <c r="G640" i="1"/>
  <c r="H640" i="1"/>
  <c r="G641" i="1"/>
  <c r="H641" i="1"/>
  <c r="G642" i="1"/>
  <c r="H642" i="1"/>
  <c r="G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163" i="2"/>
  <c r="G159" i="2"/>
  <c r="F31" i="2"/>
  <c r="C26" i="10"/>
  <c r="L350" i="1"/>
  <c r="L289" i="1"/>
  <c r="A31" i="12"/>
  <c r="C69" i="2"/>
  <c r="A40" i="12"/>
  <c r="D12" i="13"/>
  <c r="C12" i="13" s="1"/>
  <c r="G161" i="2"/>
  <c r="E49" i="2"/>
  <c r="D18" i="13"/>
  <c r="C18" i="13" s="1"/>
  <c r="D15" i="13"/>
  <c r="C15" i="13" s="1"/>
  <c r="F102" i="2"/>
  <c r="D18" i="2"/>
  <c r="D17" i="13"/>
  <c r="C17" i="13" s="1"/>
  <c r="E8" i="13"/>
  <c r="C8" i="13" s="1"/>
  <c r="C90" i="2"/>
  <c r="G80" i="2"/>
  <c r="F77" i="2"/>
  <c r="F80" i="2" s="1"/>
  <c r="F61" i="2"/>
  <c r="F62" i="2" s="1"/>
  <c r="C77" i="2"/>
  <c r="C80" i="2" s="1"/>
  <c r="D49" i="2"/>
  <c r="G156" i="2"/>
  <c r="F49" i="2"/>
  <c r="F50" i="2" s="1"/>
  <c r="F18" i="2"/>
  <c r="G160" i="2"/>
  <c r="G157" i="2"/>
  <c r="G155" i="2"/>
  <c r="E143" i="2"/>
  <c r="G102" i="2"/>
  <c r="E102" i="2"/>
  <c r="C102" i="2"/>
  <c r="D90" i="2"/>
  <c r="F90" i="2"/>
  <c r="E31" i="2"/>
  <c r="G61" i="2"/>
  <c r="D19" i="13"/>
  <c r="C19" i="13" s="1"/>
  <c r="D14" i="13"/>
  <c r="C14" i="13" s="1"/>
  <c r="E13" i="13"/>
  <c r="C13" i="13" s="1"/>
  <c r="E77" i="2"/>
  <c r="E80" i="2" s="1"/>
  <c r="L426" i="1"/>
  <c r="H111" i="1"/>
  <c r="J640" i="1"/>
  <c r="K604" i="1"/>
  <c r="G647" i="1" s="1"/>
  <c r="J570" i="1"/>
  <c r="K570" i="1"/>
  <c r="L432" i="1"/>
  <c r="L418" i="1"/>
  <c r="I168" i="1"/>
  <c r="G551" i="1"/>
  <c r="J642" i="1"/>
  <c r="J475" i="1"/>
  <c r="H625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8" i="1"/>
  <c r="K549" i="1"/>
  <c r="G22" i="2"/>
  <c r="K544" i="1"/>
  <c r="J551" i="1"/>
  <c r="C29" i="10"/>
  <c r="H139" i="1"/>
  <c r="L400" i="1"/>
  <c r="C138" i="2" s="1"/>
  <c r="L392" i="1"/>
  <c r="A13" i="12"/>
  <c r="F22" i="13"/>
  <c r="J639" i="1"/>
  <c r="H570" i="1"/>
  <c r="L559" i="1"/>
  <c r="J544" i="1"/>
  <c r="H337" i="1"/>
  <c r="H351" i="1" s="1"/>
  <c r="F337" i="1"/>
  <c r="F351" i="1" s="1"/>
  <c r="H191" i="1"/>
  <c r="F551" i="1"/>
  <c r="C35" i="10"/>
  <c r="L308" i="1"/>
  <c r="C49" i="2"/>
  <c r="J654" i="1"/>
  <c r="J644" i="1"/>
  <c r="I544" i="1"/>
  <c r="J635" i="1"/>
  <c r="G36" i="2"/>
  <c r="L564" i="1"/>
  <c r="L544" i="1"/>
  <c r="K550" i="1"/>
  <c r="C22" i="13"/>
  <c r="C137" i="2"/>
  <c r="I368" i="1" l="1"/>
  <c r="H633" i="1" s="1"/>
  <c r="J633" i="1" s="1"/>
  <c r="E114" i="2"/>
  <c r="H475" i="1"/>
  <c r="H623" i="1" s="1"/>
  <c r="J623" i="1" s="1"/>
  <c r="E18" i="2"/>
  <c r="L327" i="1"/>
  <c r="L336" i="1"/>
  <c r="L337" i="1" s="1"/>
  <c r="L351" i="1" s="1"/>
  <c r="G632" i="1" s="1"/>
  <c r="J632" i="1" s="1"/>
  <c r="H25" i="13"/>
  <c r="J643" i="1"/>
  <c r="J648" i="1"/>
  <c r="L569" i="1"/>
  <c r="H544" i="1"/>
  <c r="H551" i="1"/>
  <c r="K551" i="1"/>
  <c r="K499" i="1"/>
  <c r="G660" i="1"/>
  <c r="D29" i="13"/>
  <c r="C29" i="13" s="1"/>
  <c r="D126" i="2"/>
  <c r="D127" i="2" s="1"/>
  <c r="D144" i="2" s="1"/>
  <c r="H660" i="1"/>
  <c r="L361" i="1"/>
  <c r="I660" i="1"/>
  <c r="E127" i="2"/>
  <c r="C25" i="13"/>
  <c r="H33" i="13"/>
  <c r="C17" i="10"/>
  <c r="I661" i="1"/>
  <c r="L246" i="1"/>
  <c r="H659" i="1" s="1"/>
  <c r="H663" i="1" s="1"/>
  <c r="K256" i="1"/>
  <c r="K270" i="1" s="1"/>
  <c r="I256" i="1"/>
  <c r="I270" i="1" s="1"/>
  <c r="C124" i="2"/>
  <c r="E16" i="13"/>
  <c r="C16" i="13" s="1"/>
  <c r="C122" i="2"/>
  <c r="C16" i="10"/>
  <c r="L228" i="1"/>
  <c r="G659" i="1" s="1"/>
  <c r="G663" i="1" s="1"/>
  <c r="G671" i="1" s="1"/>
  <c r="C5" i="10" s="1"/>
  <c r="J256" i="1"/>
  <c r="J270" i="1" s="1"/>
  <c r="C108" i="2"/>
  <c r="C114" i="2" s="1"/>
  <c r="G256" i="1"/>
  <c r="G270" i="1" s="1"/>
  <c r="C10" i="10"/>
  <c r="D5" i="13"/>
  <c r="C5" i="13" s="1"/>
  <c r="F256" i="1"/>
  <c r="F270" i="1" s="1"/>
  <c r="C20" i="10"/>
  <c r="D7" i="13"/>
  <c r="C7" i="13" s="1"/>
  <c r="C118" i="2"/>
  <c r="E50" i="2"/>
  <c r="D31" i="2"/>
  <c r="D50" i="2" s="1"/>
  <c r="C61" i="2"/>
  <c r="C62" i="2" s="1"/>
  <c r="J616" i="1"/>
  <c r="J621" i="1"/>
  <c r="C31" i="2"/>
  <c r="C50" i="2"/>
  <c r="C18" i="2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C103" i="2"/>
  <c r="J651" i="1"/>
  <c r="J641" i="1"/>
  <c r="G570" i="1"/>
  <c r="I433" i="1"/>
  <c r="G433" i="1"/>
  <c r="E103" i="2"/>
  <c r="I662" i="1"/>
  <c r="C27" i="10"/>
  <c r="G634" i="1"/>
  <c r="J634" i="1" s="1"/>
  <c r="E144" i="2" l="1"/>
  <c r="H645" i="1"/>
  <c r="H671" i="1"/>
  <c r="C6" i="10" s="1"/>
  <c r="H666" i="1"/>
  <c r="H647" i="1"/>
  <c r="J647" i="1" s="1"/>
  <c r="E33" i="13"/>
  <c r="D35" i="13" s="1"/>
  <c r="G666" i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C41" i="10" l="1"/>
  <c r="D38" i="10" s="1"/>
  <c r="D37" i="10" l="1"/>
  <c r="D36" i="10"/>
  <c r="D35" i="10"/>
  <c r="D40" i="10"/>
  <c r="D39" i="10"/>
  <c r="D41" i="10" l="1"/>
  <c r="H210" i="1"/>
  <c r="H256" i="1" s="1"/>
  <c r="H270" i="1" s="1"/>
  <c r="L201" i="1"/>
  <c r="D6" i="13" s="1"/>
  <c r="D33" i="13" l="1"/>
  <c r="D36" i="13" s="1"/>
  <c r="C6" i="13"/>
  <c r="L210" i="1"/>
  <c r="C117" i="2"/>
  <c r="C127" i="2" s="1"/>
  <c r="C144" i="2" s="1"/>
  <c r="C15" i="10"/>
  <c r="C28" i="10" l="1"/>
  <c r="D15" i="10" s="1"/>
  <c r="L256" i="1"/>
  <c r="L270" i="1" s="1"/>
  <c r="G631" i="1" s="1"/>
  <c r="F659" i="1"/>
  <c r="F663" i="1" l="1"/>
  <c r="I659" i="1"/>
  <c r="I663" i="1" s="1"/>
  <c r="J631" i="1"/>
  <c r="H655" i="1"/>
  <c r="D22" i="10"/>
  <c r="D11" i="10"/>
  <c r="D12" i="10"/>
  <c r="D20" i="10"/>
  <c r="D27" i="10"/>
  <c r="D16" i="10"/>
  <c r="D26" i="10"/>
  <c r="D25" i="10"/>
  <c r="D21" i="10"/>
  <c r="D24" i="10"/>
  <c r="D17" i="10"/>
  <c r="D13" i="10"/>
  <c r="D23" i="10"/>
  <c r="C30" i="10"/>
  <c r="D19" i="10"/>
  <c r="D18" i="10"/>
  <c r="D10" i="10"/>
  <c r="I666" i="1" l="1"/>
  <c r="I671" i="1"/>
  <c r="C7" i="10" s="1"/>
  <c r="D28" i="10"/>
  <c r="F666" i="1"/>
  <c r="F671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<sst xmlns="http://schemas.openxmlformats.org/spreadsheetml/2006/main" count="3948" uniqueCount="914">
  <si>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</si>
  <si>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</si>
  <si>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</si>
  <si>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</si>
  <si>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</si>
  <si>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</si>
  <si>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</si>
  <si>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</si>
  <si>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</si>
  <si>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</si>
  <si>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</si>
  <si>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</si>
  <si>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</si>
  <si>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</si>
  <si>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</si>
  <si>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</si>
  <si>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</si>
  <si>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</si>
  <si>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</si>
  <si>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</si>
  <si>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</si>
  <si>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</si>
  <si>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</si>
  <si>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</si>
  <si>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</si>
  <si>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</si>
  <si>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</si>
  <si>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</si>
  <si>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</si>
  <si>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</si>
  <si>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</si>
  <si>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</si>
  <si>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</si>
  <si>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</si>
  <si>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</si>
  <si>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</si>
  <si>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</si>
  <si>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</si>
  <si>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</si>
  <si>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</si>
  <si>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</si>
  <si>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</si>
  <si>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</si>
  <si>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</si>
  <si>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</si>
  <si>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</si>
  <si>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</si>
  <si>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</si>
  <si>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</si>
  <si>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</si>
  <si>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</si>
  <si>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</si>
  <si>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</si>
  <si>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</si>
  <si>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</si>
  <si>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</si>
  <si>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</si>
  <si>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</si>
  <si>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</si>
  <si>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</si>
  <si>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</si>
  <si>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</si>
  <si>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</si>
  <si>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</si>
  <si>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</si>
  <si>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</si>
  <si>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</si>
  <si>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</si>
  <si>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</si>
  <si>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</si>
  <si>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</si>
  <si>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</si>
  <si>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</si>
  <si>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</si>
  <si>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</si>
  <si>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</si>
  <si>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</si>
  <si>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</si>
  <si>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</si>
  <si>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</si>
  <si>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</si>
  <si>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</si>
  <si>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</si>
  <si>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</si>
  <si>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</si>
  <si>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</si>
  <si>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</si>
  <si>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</si>
  <si>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</si>
  <si>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</si>
  <si>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</si>
  <si>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</si>
  <si>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</si>
  <si>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</si>
  <si>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</si>
  <si>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</si>
  <si>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</si>
  <si>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</si>
  <si>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</si>
  <si>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</si>
  <si>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</si>
  <si>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</si>
  <si>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</si>
  <si>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</si>
  <si>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</si>
  <si>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</si>
  <si>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</si>
  <si>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</si>
  <si>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</si>
  <si>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</si>
  <si>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</si>
  <si>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</si>
  <si>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</si>
  <si>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</si>
  <si>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</si>
  <si>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</si>
  <si>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</si>
  <si>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</si>
  <si>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</si>
  <si>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</si>
  <si>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</si>
  <si>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</si>
  <si>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</si>
  <si>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</si>
  <si>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</si>
  <si>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</si>
  <si>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</si>
  <si>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</si>
  <si>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</si>
  <si>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</si>
  <si>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</si>
  <si>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</si>
  <si>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</si>
  <si>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</si>
  <si>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</si>
  <si>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</si>
  <si>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</si>
  <si>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</si>
  <si>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</si>
  <si>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</si>
  <si>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</si>
  <si>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</si>
  <si>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</si>
  <si>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</si>
  <si>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</si>
  <si>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</si>
  <si>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</si>
  <si>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</si>
  <si>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</si>
  <si>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</si>
  <si>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</si>
  <si>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</si>
  <si>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</si>
  <si>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</si>
  <si>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</si>
  <si>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</si>
  <si>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</si>
  <si>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</si>
  <si>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</si>
  <si>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</si>
  <si>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</si>
  <si>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</si>
  <si>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</si>
  <si>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</si>
  <si>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</si>
  <si>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</si>
  <si>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</si>
  <si>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</si>
  <si>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</si>
  <si>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</si>
  <si>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</si>
  <si>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</si>
  <si>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</si>
  <si>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</si>
  <si>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</si>
  <si>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</si>
  <si>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</si>
  <si>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</si>
  <si>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</si>
  <si>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</si>
  <si>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</si>
  <si>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</si>
  <si>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</si>
  <si>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</si>
  <si>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</si>
  <si>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</si>
  <si>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</si>
  <si>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</si>
  <si>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</si>
  <si>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</si>
  <si>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</si>
  <si>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</si>
  <si>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</si>
  <si>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</si>
  <si>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</si>
  <si>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</si>
  <si>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</si>
  <si>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</si>
  <si>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</si>
  <si>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</si>
  <si>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</si>
  <si>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</si>
  <si>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</si>
  <si>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</si>
  <si>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</si>
  <si>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</si>
  <si>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</si>
  <si>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</si>
  <si>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</si>
  <si>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</si>
  <si>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</si>
  <si>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</si>
  <si>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</si>
  <si>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</si>
  <si>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</si>
  <si>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</si>
  <si>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</si>
  <si>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</si>
  <si>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</si>
  <si>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</si>
  <si>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</si>
  <si>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</si>
  <si>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</si>
  <si>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</si>
  <si>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</si>
  <si>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</si>
  <si>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</si>
  <si>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</si>
  <si>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</si>
  <si>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</si>
  <si>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</si>
  <si>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</si>
  <si>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</si>
  <si>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</si>
  <si>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</si>
  <si>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</si>
  <si>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</si>
  <si>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</si>
  <si>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</si>
  <si>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</si>
  <si>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</si>
  <si>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</si>
  <si>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</si>
  <si>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</si>
  <si>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</si>
  <si>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</si>
  <si>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</si>
  <si>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</si>
  <si>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</si>
  <si>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</si>
  <si>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</si>
  <si>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</si>
  <si>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</si>
  <si>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</si>
  <si>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</si>
  <si>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</si>
  <si>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</si>
  <si>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</si>
  <si>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</si>
  <si>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</si>
  <si>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</si>
  <si>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</si>
  <si>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</si>
  <si>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</si>
  <si>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</si>
  <si>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</si>
  <si>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</si>
  <si>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</si>
  <si>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</si>
  <si>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</si>
  <si>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</si>
  <si>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</si>
  <si>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</si>
  <si>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</si>
  <si>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</si>
  <si>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</si>
  <si>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</si>
  <si>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</si>
  <si>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</si>
  <si>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</si>
  <si>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</si>
  <si>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</si>
  <si>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</si>
  <si>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</si>
  <si>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</si>
  <si>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</si>
  <si>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</si>
  <si>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</si>
  <si>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</si>
  <si>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</si>
  <si>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</si>
  <si>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</si>
  <si>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</si>
  <si>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</si>
  <si>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</si>
  <si>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</si>
  <si>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</si>
  <si>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</si>
  <si>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</si>
  <si>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</si>
  <si>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</si>
  <si>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</si>
  <si>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</si>
  <si>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</si>
  <si>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</si>
  <si>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</si>
  <si>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</si>
  <si>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</si>
  <si>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</si>
  <si>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</si>
  <si>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</si>
  <si>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</si>
  <si>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</si>
  <si>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</si>
  <si>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</si>
  <si>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</si>
  <si>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</si>
  <si>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</si>
  <si>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</si>
  <si>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</si>
  <si>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</si>
  <si>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</si>
  <si>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</si>
  <si>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</si>
  <si>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</si>
  <si>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</si>
  <si>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</si>
  <si>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</si>
  <si>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</si>
  <si>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</si>
  <si>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</si>
  <si>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</si>
  <si>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</si>
  <si>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</si>
  <si>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</si>
  <si>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</si>
  <si>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</si>
  <si>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</si>
  <si>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</si>
  <si>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</si>
  <si>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</si>
  <si>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</si>
  <si>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</si>
  <si>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</si>
  <si>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</si>
  <si>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</si>
  <si>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</si>
  <si>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</si>
  <si>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</si>
  <si>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</si>
  <si>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</si>
  <si>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</si>
  <si>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</si>
  <si>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</si>
  <si>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</si>
  <si>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</si>
  <si>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</si>
  <si>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</si>
  <si>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</si>
  <si>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</si>
  <si>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</si>
  <si>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</si>
  <si>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</si>
  <si>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</si>
  <si>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</si>
  <si>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</si>
  <si>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</si>
  <si>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</si>
  <si>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</si>
  <si>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</si>
  <si>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</si>
  <si>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</si>
  <si>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</si>
  <si>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</si>
  <si>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</si>
  <si>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</si>
  <si>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</si>
  <si>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</si>
  <si>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</si>
  <si>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</si>
  <si>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</si>
  <si>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</si>
  <si>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</si>
  <si>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</si>
  <si>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</si>
  <si>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</si>
  <si>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</si>
  <si>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</si>
  <si>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</si>
  <si>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</si>
  <si>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</si>
  <si>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</si>
  <si>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</si>
  <si>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</si>
  <si>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</si>
  <si>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</si>
  <si>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</si>
  <si>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</si>
  <si>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</si>
  <si>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</si>
  <si>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</si>
  <si>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</si>
  <si>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</si>
  <si>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</si>
  <si>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</si>
  <si>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</si>
  <si>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</si>
  <si>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</si>
  <si>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</si>
  <si>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</si>
  <si>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</si>
  <si>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</si>
  <si>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</si>
  <si>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</si>
  <si>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</si>
  <si>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</si>
  <si>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</si>
  <si>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</si>
  <si>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</si>
  <si>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</si>
  <si>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</si>
  <si>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</si>
  <si>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</si>
  <si>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</si>
  <si>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</si>
  <si>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</si>
  <si>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</si>
  <si>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</si>
  <si>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</si>
  <si>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</si>
  <si>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</si>
  <si>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</si>
  <si>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</si>
  <si>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</si>
  <si>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</si>
  <si>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</si>
  <si>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</si>
  <si>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</si>
  <si>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</si>
  <si>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</si>
  <si>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</si>
  <si>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</si>
  <si>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</si>
  <si>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</si>
  <si>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</si>
  <si>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</si>
  <si>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</si>
  <si>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</si>
  <si>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</si>
  <si>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</si>
  <si>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</si>
  <si>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</si>
  <si>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</si>
  <si>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</si>
  <si>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</si>
  <si>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</si>
  <si>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</si>
  <si>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</si>
  <si>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</si>
  <si>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</si>
  <si>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</si>
  <si>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</si>
  <si>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</si>
  <si>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</si>
  <si>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</si>
  <si>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</si>
  <si>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</si>
  <si>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</si>
  <si>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</si>
  <si>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</si>
  <si>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</si>
  <si>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</si>
  <si>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</si>
  <si>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</si>
  <si>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</si>
  <si>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</si>
  <si>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</si>
  <si>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</si>
  <si>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</si>
  <si>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</si>
  <si>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</si>
  <si>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</si>
  <si>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</si>
  <si>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</si>
  <si>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</si>
  <si>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</si>
  <si>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</si>
  <si>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</si>
  <si>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</si>
  <si>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</si>
  <si>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</si>
  <si>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</si>
  <si>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</si>
  <si>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</si>
  <si>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</si>
  <si>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</si>
  <si>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</si>
  <si>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</si>
  <si>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</si>
  <si>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</si>
  <si>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</si>
  <si>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</si>
  <si>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</si>
  <si>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</si>
  <si>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</si>
  <si>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</si>
  <si>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</si>
  <si>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</si>
  <si>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</si>
  <si>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</si>
  <si>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</si>
  <si>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</si>
  <si>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</si>
  <si>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</si>
  <si>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</si>
  <si>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</si>
  <si>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</si>
  <si>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</si>
  <si>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</si>
  <si>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</si>
  <si>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</si>
  <si>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</si>
  <si>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</si>
  <si>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</si>
  <si>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</si>
  <si>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</si>
  <si>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</si>
  <si>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</si>
  <si>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</si>
  <si>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</si>
  <si>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</si>
  <si>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</si>
  <si>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</si>
  <si>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</si>
  <si>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</si>
  <si>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</si>
  <si>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</si>
  <si>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</si>
  <si>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</si>
  <si>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</si>
  <si>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</si>
  <si>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</si>
  <si>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</si>
  <si>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</si>
  <si>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</si>
  <si>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</si>
  <si>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</si>
  <si>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</si>
  <si>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</si>
  <si>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</si>
  <si>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</si>
  <si>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</si>
  <si>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</si>
  <si>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</si>
  <si>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</si>
  <si>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</si>
  <si>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</si>
  <si>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</si>
  <si>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</si>
  <si>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</si>
  <si>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</si>
  <si>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</si>
  <si>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</si>
  <si>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</si>
  <si>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</si>
  <si>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</si>
  <si>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</si>
  <si>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</si>
  <si>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</si>
  <si>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</si>
  <si>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</si>
  <si>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</si>
  <si>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</si>
  <si>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</si>
  <si>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</si>
  <si>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</si>
  <si>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</si>
  <si>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</si>
  <si>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</si>
  <si>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</si>
  <si>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</si>
  <si>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</si>
  <si>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</si>
  <si>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</si>
  <si>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</si>
  <si>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</si>
  <si>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</si>
  <si>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</si>
  <si>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</si>
  <si>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</si>
  <si>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</si>
  <si>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</si>
  <si>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</si>
  <si>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</si>
  <si>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</si>
  <si>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</si>
  <si>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</si>
  <si>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</si>
  <si>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</si>
  <si>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</si>
  <si>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</si>
  <si>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</si>
  <si>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</si>
  <si>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</si>
  <si>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</si>
  <si>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</si>
  <si>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</si>
  <si>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</si>
  <si>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</si>
  <si>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</si>
  <si>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</si>
  <si>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</si>
  <si>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</si>
  <si>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</si>
  <si>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</si>
  <si>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</si>
  <si>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</si>
  <si>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</si>
  <si>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</si>
  <si>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</si>
  <si>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</si>
  <si>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</si>
  <si>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</si>
  <si>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</si>
  <si>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</si>
  <si>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</si>
  <si>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</si>
  <si>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</si>
  <si>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</si>
  <si>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</si>
  <si>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</si>
  <si>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</si>
  <si>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</si>
  <si>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</si>
  <si>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</si>
  <si>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</si>
  <si>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</si>
  <si>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</si>
  <si>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</si>
  <si>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</si>
  <si>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</si>
  <si>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</si>
  <si>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</si>
  <si>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</si>
  <si>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</si>
  <si>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</si>
  <si>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</si>
  <si>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</si>
  <si>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</si>
  <si>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</si>
  <si>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</si>
  <si>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</si>
  <si>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</si>
  <si>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</si>
  <si>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</si>
  <si>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</si>
  <si>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</si>
  <si>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</si>
  <si>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</si>
  <si>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</si>
  <si>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</si>
  <si>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</si>
  <si>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</si>
  <si>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</si>
  <si>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</si>
  <si>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</si>
  <si>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</si>
  <si>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</si>
  <si>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</si>
  <si>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</si>
  <si>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</si>
  <si>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</si>
  <si>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</si>
  <si>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</si>
  <si>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</si>
  <si>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</si>
  <si>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</si>
  <si>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</si>
  <si>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</si>
  <si>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</si>
  <si>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</si>
  <si>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</si>
  <si>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</si>
  <si>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</si>
  <si>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</si>
  <si>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</si>
  <si>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</si>
  <si>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</si>
  <si>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</si>
  <si>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</si>
  <si>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</si>
  <si>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</si>
  <si>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</si>
  <si>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</si>
  <si>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</si>
  <si>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</si>
  <si>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</si>
  <si>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</si>
  <si>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</si>
  <si>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</si>
  <si>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</si>
  <si>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</si>
  <si>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</si>
  <si>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</si>
  <si>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</si>
  <si>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</si>
  <si>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</si>
  <si>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</si>
  <si>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</si>
  <si>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</si>
  <si>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</si>
  <si>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</si>
  <si>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</si>
  <si>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</si>
  <si>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</si>
  <si>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</si>
  <si>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</si>
  <si>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</si>
  <si>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</si>
  <si>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</si>
  <si>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</si>
  <si>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</si>
  <si>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</si>
  <si>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</si>
  <si>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</si>
  <si>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</si>
  <si>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</si>
  <si>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</si>
  <si>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</si>
  <si>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</si>
  <si>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</si>
  <si>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</si>
  <si>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</si>
  <si>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</si>
  <si>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</si>
  <si>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</si>
  <si>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</si>
  <si>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</si>
  <si>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</si>
  <si>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</si>
  <si>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</si>
  <si>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</si>
  <si>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</si>
  <si>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</si>
  <si>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</si>
  <si>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</si>
  <si>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</si>
  <si>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</si>
  <si>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</si>
  <si>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</si>
  <si>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</si>
  <si>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</si>
  <si>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</si>
  <si>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</si>
  <si>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</si>
  <si>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</si>
  <si>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</si>
  <si>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</si>
  <si>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</si>
  <si>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</si>
  <si>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</si>
  <si>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</si>
  <si>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</si>
  <si>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</si>
  <si>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</si>
  <si>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</si>
  <si>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</si>
  <si>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</si>
  <si>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</si>
  <si>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</si>
  <si>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</si>
  <si>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</si>
  <si>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</si>
  <si>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</si>
  <si>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</si>
  <si>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</si>
  <si>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</si>
  <si>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</si>
  <si>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</si>
  <si>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</si>
  <si>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</si>
  <si>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</si>
  <si>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</si>
  <si>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</si>
  <si>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</si>
  <si>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</si>
  <si>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</si>
  <si>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</si>
  <si>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</si>
  <si>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</si>
  <si>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</si>
  <si>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</si>
  <si>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</si>
  <si>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</si>
  <si>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</si>
  <si>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</si>
  <si>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</si>
  <si>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</si>
  <si>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</si>
  <si>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</si>
  <si>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</si>
  <si>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</si>
  <si>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</si>
  <si>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</si>
  <si>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</si>
  <si>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</si>
  <si>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</si>
  <si>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</si>
  <si>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</si>
  <si>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</si>
  <si>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</si>
  <si>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</si>
  <si>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</si>
  <si>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</si>
  <si>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</si>
  <si>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</si>
  <si>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</si>
  <si>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</si>
  <si>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</si>
  <si>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</si>
  <si>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</si>
  <si>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</si>
  <si>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</si>
  <si>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</si>
  <si>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</si>
  <si>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</si>
  <si>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</si>
  <si>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</si>
  <si>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</si>
  <si>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</si>
  <si>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</si>
  <si>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</si>
  <si>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</si>
  <si>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</si>
  <si>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</si>
  <si>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</si>
  <si>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</si>
  <si>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</si>
  <si>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</si>
  <si>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</si>
  <si>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</si>
  <si>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</si>
  <si>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</si>
  <si>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</si>
  <si>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</si>
  <si>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</si>
  <si>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</si>
  <si>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</si>
  <si>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</si>
  <si>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</si>
  <si>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</si>
  <si>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</si>
  <si>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</si>
  <si>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</si>
  <si>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</si>
  <si>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</si>
  <si>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</si>
  <si>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</si>
  <si>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</si>
  <si>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</si>
  <si>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</si>
  <si>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</si>
  <si>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</si>
  <si>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</si>
  <si>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</si>
  <si>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</si>
  <si>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</si>
  <si>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</si>
  <si>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</si>
  <si>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</si>
  <si>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</si>
  <si>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</si>
  <si>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</si>
  <si>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</si>
  <si>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</si>
  <si>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</si>
  <si>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</si>
  <si>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</si>
  <si>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</si>
  <si>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</si>
  <si>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</si>
  <si>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</si>
  <si>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</si>
  <si>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</si>
  <si>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</si>
  <si>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</si>
  <si>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</si>
  <si>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</si>
  <si>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</si>
  <si>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</si>
  <si>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</si>
  <si>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</si>
  <si>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</si>
  <si>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</si>
  <si>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</si>
  <si>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</si>
  <si>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</si>
  <si>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</si>
  <si>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</si>
  <si>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</si>
  <si>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</si>
  <si>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</si>
  <si>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</si>
  <si>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</si>
  <si>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</si>
  <si>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</si>
  <si>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</si>
  <si>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</si>
  <si>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</si>
  <si>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Timberlane Regional School District</t>
  </si>
  <si>
    <t>07/1999</t>
  </si>
  <si>
    <t>08/2019</t>
  </si>
  <si>
    <t>4.25 to 5.25</t>
  </si>
  <si>
    <t>$(199.03) Auditor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</si>
</sst>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534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1599380.28+1831</f>
        <v>1601211.28</v>
      </c>
      <c r="G9" s="18">
        <v>282860.82</v>
      </c>
      <c r="H9" s="18">
        <f>72811.92</f>
        <v>72811.92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704805.14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741697.34</v>
      </c>
      <c r="G12" s="18"/>
      <c r="H12" s="18">
        <v>58250.03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432875.79</v>
      </c>
      <c r="G13" s="18">
        <v>77378.880000000005</v>
      </c>
      <c r="H13" s="18">
        <v>532406.68000000005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49148.52</v>
      </c>
      <c r="G14" s="18"/>
      <c r="H14" s="18">
        <v>3818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14773.17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10750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2835682.93</v>
      </c>
      <c r="G19" s="41">
        <f>SUM(G9:G18)</f>
        <v>375012.87</v>
      </c>
      <c r="H19" s="41">
        <f>SUM(H9:H18)</f>
        <v>667286.63</v>
      </c>
      <c r="I19" s="41">
        <f>SUM(I9:I18)</f>
        <v>0</v>
      </c>
      <c r="J19" s="41">
        <f>SUM(J9:J18)</f>
        <v>704805.14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258125.47</v>
      </c>
      <c r="H22" s="18">
        <f>29395.03+512426.87</f>
        <v>541821.9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30041.75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146865.73000000001</v>
      </c>
      <c r="G24" s="18">
        <v>78729.03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178197.32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2820</v>
      </c>
      <c r="G30" s="18">
        <v>23385.200000000001</v>
      </c>
      <c r="H30" s="18">
        <v>19979.810000000001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357924.80000000005</v>
      </c>
      <c r="G32" s="41">
        <f>SUM(G22:G31)</f>
        <v>360239.7</v>
      </c>
      <c r="H32" s="41">
        <f>SUM(H22:H31)</f>
        <v>561801.71000000008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10750</v>
      </c>
      <c r="G35" s="18">
        <v>14773.17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138361.62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43416.89+62068.03</f>
        <v>105484.92</v>
      </c>
      <c r="I47" s="18"/>
      <c r="J47" s="13">
        <f>SUM(I458)</f>
        <v>704805.14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2128646.5099999998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2477758.13</v>
      </c>
      <c r="G50" s="41">
        <f>SUM(G35:G49)</f>
        <v>14773.17</v>
      </c>
      <c r="H50" s="41">
        <f>SUM(H35:H49)</f>
        <v>105484.92</v>
      </c>
      <c r="I50" s="41">
        <f>SUM(I35:I49)</f>
        <v>0</v>
      </c>
      <c r="J50" s="41">
        <f>SUM(J35:J49)</f>
        <v>704805.14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2835682.9299999997</v>
      </c>
      <c r="G51" s="41">
        <f>G50+G32</f>
        <v>375012.87</v>
      </c>
      <c r="H51" s="41">
        <f>H50+H32</f>
        <v>667286.63000000012</v>
      </c>
      <c r="I51" s="41">
        <f>I50+I32</f>
        <v>0</v>
      </c>
      <c r="J51" s="41">
        <f>J50+J32</f>
        <v>704805.14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12366049+7007001+14498792+9607931-6244957</f>
        <v>37234816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148389.38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37383205.380000003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19550.96+11325+24850+20471.98+34750</f>
        <v>110947.94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7340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104150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7445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25000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254882.94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5762.48</v>
      </c>
      <c r="G95" s="18">
        <v>366.26</v>
      </c>
      <c r="H95" s="18"/>
      <c r="I95" s="18"/>
      <c r="J95" s="18">
        <v>486.41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657259.7+41542.9+183354.92+64320+601+25097.75</f>
        <v>972176.27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1460</v>
      </c>
      <c r="G100" s="18"/>
      <c r="H100" s="18">
        <v>62126.75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303.14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157476.98+68594+292024</f>
        <v>518094.98</v>
      </c>
      <c r="G109" s="18"/>
      <c r="H109" s="18">
        <f>7833.37+495+950+1173.97+4179+1500+5632.72+496.18+429+997.14+1498.75+79149.87</f>
        <v>104335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525620.6</v>
      </c>
      <c r="G110" s="41">
        <f>SUM(G95:G109)</f>
        <v>972542.53</v>
      </c>
      <c r="H110" s="41">
        <f>SUM(H95:H109)</f>
        <v>166461.75</v>
      </c>
      <c r="I110" s="41">
        <f>SUM(I95:I109)</f>
        <v>0</v>
      </c>
      <c r="J110" s="41">
        <f>SUM(J95:J109)</f>
        <v>486.41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38163708.920000002</v>
      </c>
      <c r="G111" s="41">
        <f>G59+G110</f>
        <v>972542.53</v>
      </c>
      <c r="H111" s="41">
        <f>H59+H78+H93+H110</f>
        <v>166461.75</v>
      </c>
      <c r="I111" s="41">
        <f>I59+I110</f>
        <v>0</v>
      </c>
      <c r="J111" s="41">
        <f>J59+J110</f>
        <v>486.41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11620385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6244957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17865342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1083467.33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552943.25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14042.08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18304.62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1650452.6600000001</v>
      </c>
      <c r="G135" s="41">
        <f>SUM(G122:G134)</f>
        <v>18304.62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19515794.66</v>
      </c>
      <c r="G139" s="41">
        <f>G120+SUM(G135:G136)</f>
        <v>18304.62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32241.7+210675.6</f>
        <v>242917.30000000002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5141.44+96161.73</f>
        <v>101303.17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349189.8+79846.79</f>
        <v>429036.58999999997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18610+974868.51</f>
        <v>993478.51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570534.36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570534.36</v>
      </c>
      <c r="G161" s="41">
        <f>SUM(G149:G160)</f>
        <v>429036.58999999997</v>
      </c>
      <c r="H161" s="41">
        <f>SUM(H149:H160)</f>
        <v>1337698.98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570534.36</v>
      </c>
      <c r="G168" s="41">
        <f>G146+G161+SUM(G162:G167)</f>
        <v>429036.58999999997</v>
      </c>
      <c r="H168" s="41">
        <f>H146+H161+SUM(H162:H167)</f>
        <v>1337698.98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155110.67000000001</v>
      </c>
      <c r="H178" s="18"/>
      <c r="I178" s="18"/>
      <c r="J178" s="18">
        <v>200000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155110.67000000001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155110.67000000001</v>
      </c>
      <c r="H191" s="41">
        <f>+H182+SUM(H187:H190)</f>
        <v>0</v>
      </c>
      <c r="I191" s="41">
        <f>I176+I182+SUM(I187:I190)</f>
        <v>0</v>
      </c>
      <c r="J191" s="41">
        <f>J182</f>
        <v>200000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58250037.939999998</v>
      </c>
      <c r="G192" s="47">
        <f>G111+G139+G168+G191</f>
        <v>1574994.41</v>
      </c>
      <c r="H192" s="47">
        <f>H111+H139+H168+H191</f>
        <v>1504160.73</v>
      </c>
      <c r="I192" s="47">
        <f>I111+I139+I168+I191</f>
        <v>0</v>
      </c>
      <c r="J192" s="47">
        <f>J111+J139+J191</f>
        <v>200486.41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7024951.9000000004</v>
      </c>
      <c r="G196" s="18">
        <v>2908773.54</v>
      </c>
      <c r="H196" s="18">
        <v>19993.45</v>
      </c>
      <c r="I196" s="18">
        <v>359422.16</v>
      </c>
      <c r="J196" s="18">
        <v>179050.75</v>
      </c>
      <c r="K196" s="18">
        <v>1330</v>
      </c>
      <c r="L196" s="19">
        <f>SUM(F196:K196)</f>
        <v>10493521.800000001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2100727.77</v>
      </c>
      <c r="G197" s="18">
        <v>869833.9</v>
      </c>
      <c r="H197" s="18">
        <v>272980.77</v>
      </c>
      <c r="I197" s="18">
        <v>10869.4</v>
      </c>
      <c r="J197" s="18">
        <v>9802.39</v>
      </c>
      <c r="K197" s="18"/>
      <c r="L197" s="19">
        <f>SUM(F197:K197)</f>
        <v>3264214.23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71534.77</v>
      </c>
      <c r="G199" s="18">
        <v>29619.91</v>
      </c>
      <c r="H199" s="18">
        <v>3513.06</v>
      </c>
      <c r="I199" s="18">
        <v>12358.64</v>
      </c>
      <c r="J199" s="18"/>
      <c r="K199" s="18"/>
      <c r="L199" s="19">
        <f>SUM(F199:K199)</f>
        <v>117026.38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1095222.18</v>
      </c>
      <c r="G201" s="18">
        <v>453491.12</v>
      </c>
      <c r="H201" s="18">
        <v>64832.62</v>
      </c>
      <c r="I201" s="18">
        <v>17766.419999999998</v>
      </c>
      <c r="J201" s="18">
        <v>2237.3200000000002</v>
      </c>
      <c r="K201" s="18">
        <v>5818.4</v>
      </c>
      <c r="L201" s="19">
        <f t="shared" ref="L201:L207" si="0">SUM(F201:K201)</f>
        <v>1639368.0599999998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338947.78</v>
      </c>
      <c r="G202" s="18">
        <v>208063.22</v>
      </c>
      <c r="H202" s="18">
        <v>36950.35</v>
      </c>
      <c r="I202" s="18">
        <v>44729.919999999998</v>
      </c>
      <c r="J202" s="18">
        <v>1475.84</v>
      </c>
      <c r="K202" s="18"/>
      <c r="L202" s="19">
        <f t="shared" si="0"/>
        <v>630167.11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222954.67</v>
      </c>
      <c r="G203" s="18">
        <v>92317.31</v>
      </c>
      <c r="H203" s="18">
        <v>426794.38</v>
      </c>
      <c r="I203" s="18">
        <v>2950.73</v>
      </c>
      <c r="J203" s="18"/>
      <c r="K203" s="18">
        <v>14469.17</v>
      </c>
      <c r="L203" s="19">
        <f t="shared" si="0"/>
        <v>759486.26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1006137.97</v>
      </c>
      <c r="G204" s="18">
        <v>416604.63</v>
      </c>
      <c r="H204" s="18">
        <v>101985.08</v>
      </c>
      <c r="I204" s="18">
        <v>23674.01</v>
      </c>
      <c r="J204" s="18">
        <v>5382.03</v>
      </c>
      <c r="K204" s="18">
        <v>6603</v>
      </c>
      <c r="L204" s="19">
        <f t="shared" si="0"/>
        <v>1560386.7200000002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20687.54</v>
      </c>
      <c r="I205" s="18"/>
      <c r="J205" s="18"/>
      <c r="K205" s="18"/>
      <c r="L205" s="19">
        <f t="shared" si="0"/>
        <v>20687.54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721581.95</v>
      </c>
      <c r="G206" s="18">
        <v>311676.76</v>
      </c>
      <c r="H206" s="18">
        <v>267947.63</v>
      </c>
      <c r="I206" s="18">
        <v>519380.84</v>
      </c>
      <c r="J206" s="18">
        <v>44493.77</v>
      </c>
      <c r="K206" s="18"/>
      <c r="L206" s="19">
        <f t="shared" si="0"/>
        <v>1865080.95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961231.76</v>
      </c>
      <c r="I207" s="18"/>
      <c r="J207" s="18"/>
      <c r="K207" s="18"/>
      <c r="L207" s="19">
        <f t="shared" si="0"/>
        <v>961231.76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58242.879999999997</v>
      </c>
      <c r="G208" s="18">
        <v>24116.23</v>
      </c>
      <c r="H208" s="18">
        <v>3821.69</v>
      </c>
      <c r="I208" s="18">
        <v>47960.81</v>
      </c>
      <c r="J208" s="18">
        <v>12474.02</v>
      </c>
      <c r="K208" s="18"/>
      <c r="L208" s="19">
        <f>SUM(F208:K208)</f>
        <v>146615.62999999998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12640301.869999999</v>
      </c>
      <c r="G210" s="41">
        <f t="shared" si="1"/>
        <v>5314496.6199999992</v>
      </c>
      <c r="H210" s="41">
        <f t="shared" si="1"/>
        <v>2180738.3299999996</v>
      </c>
      <c r="I210" s="41">
        <f t="shared" si="1"/>
        <v>1039112.9299999999</v>
      </c>
      <c r="J210" s="41">
        <f t="shared" si="1"/>
        <v>254916.12</v>
      </c>
      <c r="K210" s="41">
        <f t="shared" si="1"/>
        <v>28220.57</v>
      </c>
      <c r="L210" s="41">
        <f t="shared" si="1"/>
        <v>21457786.440000001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4484207.0599999996</v>
      </c>
      <c r="G214" s="18">
        <v>1856744.79</v>
      </c>
      <c r="H214" s="18">
        <v>15231.95</v>
      </c>
      <c r="I214" s="18">
        <v>193905.32</v>
      </c>
      <c r="J214" s="18">
        <v>116998.69</v>
      </c>
      <c r="K214" s="18">
        <v>1340</v>
      </c>
      <c r="L214" s="19">
        <f>SUM(F214:K214)</f>
        <v>6668427.8100000005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1717223.81</v>
      </c>
      <c r="G215" s="18">
        <v>711039.06</v>
      </c>
      <c r="H215" s="18">
        <v>376405.87</v>
      </c>
      <c r="I215" s="18">
        <v>8628.11</v>
      </c>
      <c r="J215" s="18">
        <v>5870.08</v>
      </c>
      <c r="K215" s="18"/>
      <c r="L215" s="19">
        <f>SUM(F215:K215)</f>
        <v>2819166.93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100817.28</v>
      </c>
      <c r="G217" s="18">
        <v>41744.720000000001</v>
      </c>
      <c r="H217" s="18">
        <v>27710.82</v>
      </c>
      <c r="I217" s="18">
        <v>6707.69</v>
      </c>
      <c r="J217" s="18">
        <v>4878.04</v>
      </c>
      <c r="K217" s="18">
        <v>1500</v>
      </c>
      <c r="L217" s="19">
        <f>SUM(F217:K217)</f>
        <v>183358.55000000002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703097.63</v>
      </c>
      <c r="G219" s="18">
        <v>291126.8</v>
      </c>
      <c r="H219" s="18">
        <v>41054.42</v>
      </c>
      <c r="I219" s="18">
        <v>9429.5499999999993</v>
      </c>
      <c r="J219" s="18">
        <v>1382.24</v>
      </c>
      <c r="K219" s="18">
        <v>3594.68</v>
      </c>
      <c r="L219" s="19">
        <f t="shared" ref="L219:L225" si="2">SUM(F219:K219)</f>
        <v>1049685.32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133459.29</v>
      </c>
      <c r="G220" s="18">
        <v>97097.27</v>
      </c>
      <c r="H220" s="18">
        <v>19610.23</v>
      </c>
      <c r="I220" s="18">
        <v>32580.3</v>
      </c>
      <c r="J220" s="18">
        <v>12759.65</v>
      </c>
      <c r="K220" s="18"/>
      <c r="L220" s="19">
        <f t="shared" si="2"/>
        <v>295506.74000000005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>
        <v>137744.24</v>
      </c>
      <c r="H221" s="18">
        <v>57034.81</v>
      </c>
      <c r="I221" s="18">
        <v>263679.02</v>
      </c>
      <c r="J221" s="18">
        <v>1823</v>
      </c>
      <c r="K221" s="18">
        <v>8939.24</v>
      </c>
      <c r="L221" s="19">
        <f t="shared" si="2"/>
        <v>469220.31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509431.87</v>
      </c>
      <c r="G222" s="18">
        <v>210936.95</v>
      </c>
      <c r="H222" s="18">
        <v>27669.759999999998</v>
      </c>
      <c r="I222" s="18">
        <v>26196.29</v>
      </c>
      <c r="J222" s="18">
        <v>11960.72</v>
      </c>
      <c r="K222" s="18">
        <v>90</v>
      </c>
      <c r="L222" s="19">
        <f t="shared" si="2"/>
        <v>786285.59000000008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v>12781.03</v>
      </c>
      <c r="I223" s="18"/>
      <c r="J223" s="18"/>
      <c r="K223" s="18"/>
      <c r="L223" s="19">
        <f t="shared" si="2"/>
        <v>12781.03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266947.13</v>
      </c>
      <c r="G224" s="18">
        <v>118500.45</v>
      </c>
      <c r="H224" s="18">
        <v>165541.47</v>
      </c>
      <c r="I224" s="18">
        <v>180638.35</v>
      </c>
      <c r="J224" s="18">
        <v>27488.82</v>
      </c>
      <c r="K224" s="18"/>
      <c r="L224" s="19">
        <f t="shared" si="2"/>
        <v>759116.22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615344.92000000004</v>
      </c>
      <c r="I225" s="18"/>
      <c r="J225" s="18"/>
      <c r="K225" s="18"/>
      <c r="L225" s="19">
        <f t="shared" si="2"/>
        <v>615344.92000000004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35983.199999999997</v>
      </c>
      <c r="G226" s="18">
        <v>14899.3</v>
      </c>
      <c r="H226" s="18">
        <v>2361.09</v>
      </c>
      <c r="I226" s="18">
        <v>29630.799999999999</v>
      </c>
      <c r="J226" s="18">
        <v>7706.61</v>
      </c>
      <c r="K226" s="18"/>
      <c r="L226" s="19">
        <f>SUM(F226:K226)</f>
        <v>90581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7951167.2699999996</v>
      </c>
      <c r="G228" s="41">
        <f>SUM(G214:G227)</f>
        <v>3479833.58</v>
      </c>
      <c r="H228" s="41">
        <f>SUM(H214:H227)</f>
        <v>1360746.37</v>
      </c>
      <c r="I228" s="41">
        <f>SUM(I214:I227)</f>
        <v>751395.43</v>
      </c>
      <c r="J228" s="41">
        <f>SUM(J214:J227)</f>
        <v>190867.85</v>
      </c>
      <c r="K228" s="41">
        <f t="shared" si="3"/>
        <v>15463.92</v>
      </c>
      <c r="L228" s="41">
        <f t="shared" si="3"/>
        <v>13749474.420000002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5414011.7000000002</v>
      </c>
      <c r="G232" s="18">
        <v>2241742.6</v>
      </c>
      <c r="H232" s="18">
        <v>36271.620000000003</v>
      </c>
      <c r="I232" s="18">
        <f>298938.72+0.04</f>
        <v>298938.75999999995</v>
      </c>
      <c r="J232" s="18">
        <v>212383.47</v>
      </c>
      <c r="K232" s="18">
        <v>3685</v>
      </c>
      <c r="L232" s="19">
        <f>SUM(F232:K232)</f>
        <v>8207033.1500000004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2023548.36</v>
      </c>
      <c r="G233" s="18">
        <v>837876.76</v>
      </c>
      <c r="H233" s="18">
        <v>1486300.72</v>
      </c>
      <c r="I233" s="18">
        <v>11487.52</v>
      </c>
      <c r="J233" s="18">
        <v>8566.85</v>
      </c>
      <c r="K233" s="18"/>
      <c r="L233" s="19">
        <f>SUM(F233:K233)</f>
        <v>4367780.209999999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76038.600000000006</v>
      </c>
      <c r="I234" s="18"/>
      <c r="J234" s="18"/>
      <c r="K234" s="18"/>
      <c r="L234" s="19">
        <f>SUM(F234:K234)</f>
        <v>76038.600000000006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435073.64</v>
      </c>
      <c r="G235" s="18">
        <v>180147.95</v>
      </c>
      <c r="H235" s="18">
        <v>90522.07</v>
      </c>
      <c r="I235" s="18">
        <v>68780.88</v>
      </c>
      <c r="J235" s="18">
        <v>26644.13</v>
      </c>
      <c r="K235" s="18">
        <v>78880.479999999996</v>
      </c>
      <c r="L235" s="19">
        <f>SUM(F235:K235)</f>
        <v>880049.15000000014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1068936.1599999999</v>
      </c>
      <c r="G237" s="18">
        <v>442607.05</v>
      </c>
      <c r="H237" s="18">
        <v>66484.42</v>
      </c>
      <c r="I237" s="18">
        <v>15697.03</v>
      </c>
      <c r="J237" s="18">
        <v>2415.1999999999998</v>
      </c>
      <c r="K237" s="18">
        <v>5246.11</v>
      </c>
      <c r="L237" s="19">
        <f t="shared" ref="L237:L243" si="4">SUM(F237:K237)</f>
        <v>1601385.97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130010.79</v>
      </c>
      <c r="G238" s="18">
        <v>114889.5</v>
      </c>
      <c r="H238" s="18">
        <v>25615.99</v>
      </c>
      <c r="I238" s="18">
        <v>38594.65</v>
      </c>
      <c r="J238" s="18">
        <v>3565.76</v>
      </c>
      <c r="K238" s="18"/>
      <c r="L238" s="19">
        <f t="shared" si="4"/>
        <v>312676.69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201025.08</v>
      </c>
      <c r="G239" s="18">
        <v>83237.070000000007</v>
      </c>
      <c r="H239" s="18">
        <v>384815.33</v>
      </c>
      <c r="I239" s="18">
        <v>2660.5</v>
      </c>
      <c r="J239" s="18"/>
      <c r="K239" s="18">
        <v>13046</v>
      </c>
      <c r="L239" s="19">
        <f t="shared" si="4"/>
        <v>684783.98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661460.32999999996</v>
      </c>
      <c r="G240" s="18">
        <v>273886.33</v>
      </c>
      <c r="H240" s="18">
        <v>46185.120000000003</v>
      </c>
      <c r="I240" s="18">
        <v>50319.85</v>
      </c>
      <c r="J240" s="18">
        <v>1179.42</v>
      </c>
      <c r="K240" s="18">
        <v>9658</v>
      </c>
      <c r="L240" s="19">
        <f t="shared" si="4"/>
        <v>1042689.0499999999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18652.740000000002</v>
      </c>
      <c r="I241" s="18"/>
      <c r="J241" s="18"/>
      <c r="K241" s="18"/>
      <c r="L241" s="19">
        <f t="shared" si="4"/>
        <v>18652.740000000002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433144.53</v>
      </c>
      <c r="G242" s="18">
        <v>190977</v>
      </c>
      <c r="H242" s="18">
        <v>300758.44</v>
      </c>
      <c r="I242" s="18">
        <v>308633.86</v>
      </c>
      <c r="J242" s="18">
        <v>40117.410000000003</v>
      </c>
      <c r="K242" s="18"/>
      <c r="L242" s="19">
        <f t="shared" si="4"/>
        <v>1273631.24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1005150.29</v>
      </c>
      <c r="I243" s="18"/>
      <c r="J243" s="18"/>
      <c r="K243" s="18"/>
      <c r="L243" s="19">
        <f t="shared" si="4"/>
        <v>1005150.29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52514.17</v>
      </c>
      <c r="G244" s="18">
        <v>21744.18</v>
      </c>
      <c r="H244" s="18">
        <v>3445.79</v>
      </c>
      <c r="I244" s="18">
        <v>43243.43</v>
      </c>
      <c r="J244" s="18">
        <v>11247.1</v>
      </c>
      <c r="K244" s="18"/>
      <c r="L244" s="19">
        <f>SUM(F244:K244)</f>
        <v>132194.67000000001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10419724.759999998</v>
      </c>
      <c r="G246" s="41">
        <f t="shared" si="5"/>
        <v>4387108.4399999995</v>
      </c>
      <c r="H246" s="41">
        <f t="shared" si="5"/>
        <v>3540241.1300000004</v>
      </c>
      <c r="I246" s="41">
        <f t="shared" si="5"/>
        <v>838356.4800000001</v>
      </c>
      <c r="J246" s="41">
        <f t="shared" si="5"/>
        <v>306119.34000000003</v>
      </c>
      <c r="K246" s="41">
        <f t="shared" si="5"/>
        <v>110515.59</v>
      </c>
      <c r="L246" s="41">
        <f t="shared" si="5"/>
        <v>19602065.739999998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128401</v>
      </c>
      <c r="G250" s="18">
        <v>53166.12</v>
      </c>
      <c r="H250" s="18"/>
      <c r="I250" s="18">
        <v>25553.52</v>
      </c>
      <c r="J250" s="18"/>
      <c r="K250" s="18"/>
      <c r="L250" s="19">
        <f t="shared" si="6"/>
        <v>207120.63999999998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14187.51+184252.4+392025.12</f>
        <v>590465.03</v>
      </c>
      <c r="I254" s="18"/>
      <c r="J254" s="18"/>
      <c r="K254" s="18"/>
      <c r="L254" s="19">
        <f t="shared" si="6"/>
        <v>590465.03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128401</v>
      </c>
      <c r="G255" s="41">
        <f t="shared" si="7"/>
        <v>53166.12</v>
      </c>
      <c r="H255" s="41">
        <f t="shared" si="7"/>
        <v>590465.03</v>
      </c>
      <c r="I255" s="41">
        <f t="shared" si="7"/>
        <v>25553.52</v>
      </c>
      <c r="J255" s="41">
        <f t="shared" si="7"/>
        <v>0</v>
      </c>
      <c r="K255" s="41">
        <f t="shared" si="7"/>
        <v>0</v>
      </c>
      <c r="L255" s="41">
        <f>SUM(F255:K255)</f>
        <v>797585.67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31139594.899999999</v>
      </c>
      <c r="G256" s="41">
        <f t="shared" si="8"/>
        <v>13234604.759999998</v>
      </c>
      <c r="H256" s="41">
        <f t="shared" si="8"/>
        <v>7672190.8600000003</v>
      </c>
      <c r="I256" s="41">
        <f t="shared" si="8"/>
        <v>2654418.36</v>
      </c>
      <c r="J256" s="41">
        <f t="shared" si="8"/>
        <v>751903.31</v>
      </c>
      <c r="K256" s="41">
        <f t="shared" si="8"/>
        <v>154200.07999999999</v>
      </c>
      <c r="L256" s="41">
        <f t="shared" si="8"/>
        <v>55606912.269999996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1600000</v>
      </c>
      <c r="L259" s="19">
        <f>SUM(F259:K259)</f>
        <v>1600000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630000</v>
      </c>
      <c r="L260" s="19">
        <f>SUM(F260:K260)</f>
        <v>630000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155110.67000000001</v>
      </c>
      <c r="L262" s="19">
        <f>SUM(F262:K262)</f>
        <v>155110.67000000001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200000</v>
      </c>
      <c r="L265" s="19">
        <f t="shared" si="9"/>
        <v>200000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2585110.67</v>
      </c>
      <c r="L269" s="41">
        <f t="shared" si="9"/>
        <v>2585110.67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31139594.899999999</v>
      </c>
      <c r="G270" s="42">
        <f t="shared" si="11"/>
        <v>13234604.759999998</v>
      </c>
      <c r="H270" s="42">
        <f t="shared" si="11"/>
        <v>7672190.8600000003</v>
      </c>
      <c r="I270" s="42">
        <f t="shared" si="11"/>
        <v>2654418.36</v>
      </c>
      <c r="J270" s="42">
        <f t="shared" si="11"/>
        <v>751903.31</v>
      </c>
      <c r="K270" s="42">
        <f t="shared" si="11"/>
        <v>2739310.75</v>
      </c>
      <c r="L270" s="42">
        <f t="shared" si="11"/>
        <v>58192022.939999998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98928.9</v>
      </c>
      <c r="G275" s="18">
        <v>5897.63</v>
      </c>
      <c r="H275" s="18">
        <v>31336.080000000002</v>
      </c>
      <c r="I275" s="18">
        <v>1060.08</v>
      </c>
      <c r="J275" s="18"/>
      <c r="K275" s="18"/>
      <c r="L275" s="19">
        <f>SUM(F275:K275)</f>
        <v>137222.68999999997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275955.90000000002</v>
      </c>
      <c r="G276" s="18"/>
      <c r="H276" s="18">
        <v>69985.61</v>
      </c>
      <c r="I276" s="18">
        <v>1235.79</v>
      </c>
      <c r="J276" s="18">
        <v>15177.3</v>
      </c>
      <c r="K276" s="18"/>
      <c r="L276" s="19">
        <f>SUM(F276:K276)</f>
        <v>362354.6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11428.2</v>
      </c>
      <c r="G280" s="18"/>
      <c r="H280" s="18"/>
      <c r="I280" s="18"/>
      <c r="J280" s="18"/>
      <c r="K280" s="18"/>
      <c r="L280" s="19">
        <f t="shared" ref="L280:L286" si="12">SUM(F280:K280)</f>
        <v>11428.2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2877.11</v>
      </c>
      <c r="G281" s="18"/>
      <c r="H281" s="18">
        <v>16780.86</v>
      </c>
      <c r="I281" s="18">
        <v>1784.55</v>
      </c>
      <c r="J281" s="18"/>
      <c r="K281" s="18"/>
      <c r="L281" s="19">
        <f t="shared" si="12"/>
        <v>21442.52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>
        <v>5632.72</v>
      </c>
      <c r="K284" s="18"/>
      <c r="L284" s="19">
        <f t="shared" si="12"/>
        <v>5632.72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389190.11000000004</v>
      </c>
      <c r="G289" s="42">
        <f t="shared" si="13"/>
        <v>5897.63</v>
      </c>
      <c r="H289" s="42">
        <f t="shared" si="13"/>
        <v>118102.55</v>
      </c>
      <c r="I289" s="42">
        <f t="shared" si="13"/>
        <v>4080.42</v>
      </c>
      <c r="J289" s="42">
        <f t="shared" si="13"/>
        <v>20810.02</v>
      </c>
      <c r="K289" s="42">
        <f t="shared" si="13"/>
        <v>0</v>
      </c>
      <c r="L289" s="41">
        <f t="shared" si="13"/>
        <v>538080.72999999986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60192.82</v>
      </c>
      <c r="G294" s="18">
        <f>3643.63+429</f>
        <v>4072.63</v>
      </c>
      <c r="H294" s="18">
        <v>19359.830000000002</v>
      </c>
      <c r="I294" s="18">
        <v>1151.1099999999999</v>
      </c>
      <c r="J294" s="18"/>
      <c r="K294" s="18"/>
      <c r="L294" s="19">
        <f>SUM(F294:K294)</f>
        <v>84776.39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170489.07</v>
      </c>
      <c r="G295" s="18"/>
      <c r="H295" s="18">
        <v>43238</v>
      </c>
      <c r="I295" s="18">
        <v>763.5</v>
      </c>
      <c r="J295" s="18">
        <v>9376.73</v>
      </c>
      <c r="K295" s="18"/>
      <c r="L295" s="19">
        <f>SUM(F295:K295)</f>
        <v>223867.30000000002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7060.49</v>
      </c>
      <c r="G299" s="18"/>
      <c r="H299" s="18"/>
      <c r="I299" s="18"/>
      <c r="J299" s="18"/>
      <c r="K299" s="18"/>
      <c r="L299" s="19">
        <f t="shared" ref="L299:L305" si="14">SUM(F299:K299)</f>
        <v>7060.49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1777.52</v>
      </c>
      <c r="G300" s="18"/>
      <c r="H300" s="18">
        <v>10367.43</v>
      </c>
      <c r="I300" s="18">
        <v>1398.52</v>
      </c>
      <c r="J300" s="18">
        <v>877.97</v>
      </c>
      <c r="K300" s="18"/>
      <c r="L300" s="19">
        <f t="shared" si="14"/>
        <v>14421.44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239519.9</v>
      </c>
      <c r="G308" s="42">
        <f t="shared" si="15"/>
        <v>4072.63</v>
      </c>
      <c r="H308" s="42">
        <f t="shared" si="15"/>
        <v>72965.260000000009</v>
      </c>
      <c r="I308" s="42">
        <f t="shared" si="15"/>
        <v>3313.13</v>
      </c>
      <c r="J308" s="42">
        <f t="shared" si="15"/>
        <v>10254.699999999999</v>
      </c>
      <c r="K308" s="42">
        <f t="shared" si="15"/>
        <v>0</v>
      </c>
      <c r="L308" s="41">
        <f t="shared" si="15"/>
        <v>330125.62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87845.89</v>
      </c>
      <c r="G313" s="18">
        <v>5317.55</v>
      </c>
      <c r="H313" s="18">
        <v>28748.89</v>
      </c>
      <c r="I313" s="18">
        <v>3452.65</v>
      </c>
      <c r="J313" s="18">
        <v>949.05</v>
      </c>
      <c r="K313" s="18"/>
      <c r="L313" s="19">
        <f>SUM(F313:K313)</f>
        <v>126314.03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248813.16</v>
      </c>
      <c r="G314" s="18"/>
      <c r="H314" s="18">
        <v>63101.89</v>
      </c>
      <c r="I314" s="18">
        <v>1114.25</v>
      </c>
      <c r="J314" s="18">
        <v>13684.47</v>
      </c>
      <c r="K314" s="18"/>
      <c r="L314" s="19">
        <f>SUM(F314:K314)</f>
        <v>326713.76999999996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>
        <v>1477.34</v>
      </c>
      <c r="J316" s="18">
        <f>4179+15604.5</f>
        <v>19783.5</v>
      </c>
      <c r="K316" s="18"/>
      <c r="L316" s="19">
        <f>SUM(F316:K316)</f>
        <v>21260.84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10304.14</v>
      </c>
      <c r="G318" s="18"/>
      <c r="H318" s="18"/>
      <c r="I318" s="18"/>
      <c r="J318" s="18"/>
      <c r="K318" s="18"/>
      <c r="L318" s="19">
        <f t="shared" ref="L318:L324" si="16">SUM(F318:K318)</f>
        <v>10304.14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2594.12</v>
      </c>
      <c r="G319" s="18"/>
      <c r="H319" s="18">
        <v>15130.31</v>
      </c>
      <c r="I319" s="18">
        <v>1609.02</v>
      </c>
      <c r="J319" s="18"/>
      <c r="K319" s="18"/>
      <c r="L319" s="19">
        <f t="shared" si="16"/>
        <v>19333.45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349557.31</v>
      </c>
      <c r="G327" s="42">
        <f t="shared" si="17"/>
        <v>5317.55</v>
      </c>
      <c r="H327" s="42">
        <f t="shared" si="17"/>
        <v>106981.09</v>
      </c>
      <c r="I327" s="42">
        <f t="shared" si="17"/>
        <v>7653.26</v>
      </c>
      <c r="J327" s="42">
        <f t="shared" si="17"/>
        <v>34417.019999999997</v>
      </c>
      <c r="K327" s="42">
        <f t="shared" si="17"/>
        <v>0</v>
      </c>
      <c r="L327" s="41">
        <f t="shared" si="17"/>
        <v>503926.23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20006.75</f>
        <v>20006.75</v>
      </c>
      <c r="G334" s="18">
        <v>4388.28</v>
      </c>
      <c r="H334" s="18">
        <v>32916.980000000003</v>
      </c>
      <c r="I334" s="18">
        <v>2627.69</v>
      </c>
      <c r="J334" s="18">
        <v>1667.65</v>
      </c>
      <c r="K334" s="18"/>
      <c r="L334" s="19">
        <f t="shared" si="18"/>
        <v>61607.350000000006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20006.75</v>
      </c>
      <c r="G336" s="41">
        <f t="shared" si="19"/>
        <v>4388.28</v>
      </c>
      <c r="H336" s="41">
        <f t="shared" si="19"/>
        <v>32916.980000000003</v>
      </c>
      <c r="I336" s="41">
        <f t="shared" si="19"/>
        <v>2627.69</v>
      </c>
      <c r="J336" s="41">
        <f t="shared" si="19"/>
        <v>1667.65</v>
      </c>
      <c r="K336" s="41">
        <f t="shared" si="19"/>
        <v>0</v>
      </c>
      <c r="L336" s="41">
        <f t="shared" si="18"/>
        <v>61607.350000000006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998274.07000000007</v>
      </c>
      <c r="G337" s="41">
        <f t="shared" si="20"/>
        <v>19676.09</v>
      </c>
      <c r="H337" s="41">
        <f t="shared" si="20"/>
        <v>330965.88</v>
      </c>
      <c r="I337" s="41">
        <f t="shared" si="20"/>
        <v>17674.5</v>
      </c>
      <c r="J337" s="41">
        <f t="shared" si="20"/>
        <v>67149.39</v>
      </c>
      <c r="K337" s="41">
        <f t="shared" si="20"/>
        <v>0</v>
      </c>
      <c r="L337" s="41">
        <f t="shared" si="20"/>
        <v>1433739.93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998274.07000000007</v>
      </c>
      <c r="G351" s="41">
        <f>G337</f>
        <v>19676.09</v>
      </c>
      <c r="H351" s="41">
        <f>H337</f>
        <v>330965.88</v>
      </c>
      <c r="I351" s="41">
        <f>I337</f>
        <v>17674.5</v>
      </c>
      <c r="J351" s="41">
        <f>J337</f>
        <v>67149.39</v>
      </c>
      <c r="K351" s="47">
        <f>K337+K350</f>
        <v>0</v>
      </c>
      <c r="L351" s="41">
        <f>L337+L350</f>
        <v>1433739.93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231422.16</v>
      </c>
      <c r="G357" s="18">
        <v>58937.17</v>
      </c>
      <c r="H357" s="18">
        <v>374391.89</v>
      </c>
      <c r="I357" s="18">
        <v>42398.65</v>
      </c>
      <c r="J357" s="18"/>
      <c r="K357" s="18">
        <v>7884.94</v>
      </c>
      <c r="L357" s="13">
        <f>SUM(F357:K357)</f>
        <v>715034.80999999994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80210.679999999993</v>
      </c>
      <c r="G358" s="18">
        <v>20427.560000000001</v>
      </c>
      <c r="H358" s="18">
        <v>231999.4</v>
      </c>
      <c r="I358" s="18">
        <v>22513.38</v>
      </c>
      <c r="J358" s="18"/>
      <c r="K358" s="18">
        <v>4871.42</v>
      </c>
      <c r="L358" s="19">
        <f>SUM(F358:K358)</f>
        <v>360022.44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114785.83</v>
      </c>
      <c r="G359" s="18">
        <v>29232.95</v>
      </c>
      <c r="H359" s="18">
        <v>338180.76</v>
      </c>
      <c r="I359" s="18">
        <v>36638.81</v>
      </c>
      <c r="J359" s="18"/>
      <c r="K359" s="18">
        <v>7109.39</v>
      </c>
      <c r="L359" s="19">
        <f>SUM(F359:K359)</f>
        <v>525947.74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426418.67</v>
      </c>
      <c r="G361" s="47">
        <f t="shared" si="22"/>
        <v>108597.68</v>
      </c>
      <c r="H361" s="47">
        <f t="shared" si="22"/>
        <v>944572.05</v>
      </c>
      <c r="I361" s="47">
        <f t="shared" si="22"/>
        <v>101550.84</v>
      </c>
      <c r="J361" s="47">
        <f t="shared" si="22"/>
        <v>0</v>
      </c>
      <c r="K361" s="47">
        <f t="shared" si="22"/>
        <v>19865.75</v>
      </c>
      <c r="L361" s="47">
        <f t="shared" si="22"/>
        <v>1601004.99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36440.47</v>
      </c>
      <c r="G366" s="18">
        <v>22513.38</v>
      </c>
      <c r="H366" s="18">
        <v>32856.22</v>
      </c>
      <c r="I366" s="56">
        <f>SUM(F366:H366)</f>
        <v>91810.07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5958.18</v>
      </c>
      <c r="G367" s="63">
        <v>0</v>
      </c>
      <c r="H367" s="63">
        <v>3782.59</v>
      </c>
      <c r="I367" s="56">
        <f>SUM(F367:H367)</f>
        <v>9740.77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42398.65</v>
      </c>
      <c r="G368" s="47">
        <f>SUM(G366:G367)</f>
        <v>22513.38</v>
      </c>
      <c r="H368" s="47">
        <f>SUM(H366:H367)</f>
        <v>36638.81</v>
      </c>
      <c r="I368" s="47">
        <f>SUM(I366:I367)</f>
        <v>101550.84000000001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>
        <v>200000</v>
      </c>
      <c r="H386" s="18">
        <v>486.41</v>
      </c>
      <c r="I386" s="18"/>
      <c r="J386" s="24" t="s">
        <v>289</v>
      </c>
      <c r="K386" s="24" t="s">
        <v>289</v>
      </c>
      <c r="L386" s="56">
        <f t="shared" ref="L386:L391" si="25">SUM(F386:K386)</f>
        <v>200486.41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200000</v>
      </c>
      <c r="H392" s="139">
        <f>SUM(H386:H391)</f>
        <v>486.41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200486.41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486.41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200486.41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704805.14</v>
      </c>
      <c r="G439" s="18"/>
      <c r="H439" s="18"/>
      <c r="I439" s="56">
        <f t="shared" si="33"/>
        <v>704805.14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704805.14</v>
      </c>
      <c r="G445" s="13">
        <f>SUM(G438:G444)</f>
        <v>0</v>
      </c>
      <c r="H445" s="13">
        <f>SUM(H438:H444)</f>
        <v>0</v>
      </c>
      <c r="I445" s="13">
        <f>SUM(I438:I444)</f>
        <v>704805.14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704805.14</v>
      </c>
      <c r="G458" s="18"/>
      <c r="H458" s="18"/>
      <c r="I458" s="56">
        <f t="shared" si="34"/>
        <v>704805.14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704805.14</v>
      </c>
      <c r="G459" s="83">
        <f>SUM(G453:G458)</f>
        <v>0</v>
      </c>
      <c r="H459" s="83">
        <f>SUM(H453:H458)</f>
        <v>0</v>
      </c>
      <c r="I459" s="83">
        <f>SUM(I453:I458)</f>
        <v>704805.14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704805.14</v>
      </c>
      <c r="G460" s="42">
        <f>G451+G459</f>
        <v>0</v>
      </c>
      <c r="H460" s="42">
        <f>H451+H459</f>
        <v>0</v>
      </c>
      <c r="I460" s="42">
        <f>I451+I459</f>
        <v>704805.14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2419942.16</v>
      </c>
      <c r="G464" s="18">
        <v>40783.75</v>
      </c>
      <c r="H464" s="18">
        <v>35064.120000000003</v>
      </c>
      <c r="I464" s="18"/>
      <c r="J464" s="18">
        <v>504318.73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58250037.939999998</v>
      </c>
      <c r="G467" s="18">
        <v>1574994.41</v>
      </c>
      <c r="H467" s="18">
        <f>1355050.74+69960.12+79149.87</f>
        <v>1504160.73</v>
      </c>
      <c r="I467" s="18"/>
      <c r="J467" s="18">
        <v>200486.41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-199.03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58249838.909999996</v>
      </c>
      <c r="G469" s="53">
        <f>SUM(G467:G468)</f>
        <v>1574994.41</v>
      </c>
      <c r="H469" s="53">
        <f>SUM(H467:H468)</f>
        <v>1504160.73</v>
      </c>
      <c r="I469" s="53">
        <f>SUM(I467:I468)</f>
        <v>0</v>
      </c>
      <c r="J469" s="53">
        <f>SUM(J467:J468)</f>
        <v>200486.41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58192022.939999998</v>
      </c>
      <c r="G471" s="18">
        <v>1601004.99</v>
      </c>
      <c r="H471" s="18">
        <f>1355050.74+61607.35+17081.84</f>
        <v>1433739.9300000002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58192022.939999998</v>
      </c>
      <c r="G473" s="53">
        <f>SUM(G471:G472)</f>
        <v>1601004.99</v>
      </c>
      <c r="H473" s="53">
        <f>SUM(H471:H472)</f>
        <v>1433739.9300000002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2477758.1299999952</v>
      </c>
      <c r="G475" s="53">
        <f>(G464+G469)- G473</f>
        <v>14773.169999999925</v>
      </c>
      <c r="H475" s="53">
        <f>(H464+H469)- H473</f>
        <v>105484.91999999993</v>
      </c>
      <c r="I475" s="53">
        <f>(I464+I469)- I473</f>
        <v>0</v>
      </c>
      <c r="J475" s="53">
        <f>(J464+J469)- J473</f>
        <v>704805.14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274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32000000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274" t="s">
        <v>912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12800000</v>
      </c>
      <c r="G494" s="18"/>
      <c r="H494" s="18"/>
      <c r="I494" s="18"/>
      <c r="J494" s="18"/>
      <c r="K494" s="53">
        <f>SUM(F494:J494)</f>
        <v>12800000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1600000</v>
      </c>
      <c r="G496" s="18"/>
      <c r="H496" s="18"/>
      <c r="I496" s="18"/>
      <c r="J496" s="18"/>
      <c r="K496" s="53">
        <f t="shared" si="35"/>
        <v>1600000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11200000</v>
      </c>
      <c r="G497" s="204"/>
      <c r="H497" s="204"/>
      <c r="I497" s="204"/>
      <c r="J497" s="204"/>
      <c r="K497" s="205">
        <f t="shared" si="35"/>
        <v>11200000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2058000</v>
      </c>
      <c r="G498" s="18"/>
      <c r="H498" s="18"/>
      <c r="I498" s="18"/>
      <c r="J498" s="18"/>
      <c r="K498" s="53">
        <f t="shared" si="35"/>
        <v>2058000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13258000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13258000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1600000</v>
      </c>
      <c r="G500" s="204"/>
      <c r="H500" s="204"/>
      <c r="I500" s="204"/>
      <c r="J500" s="204"/>
      <c r="K500" s="205">
        <f t="shared" si="35"/>
        <v>1600000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546000</v>
      </c>
      <c r="G501" s="18"/>
      <c r="H501" s="18"/>
      <c r="I501" s="18"/>
      <c r="J501" s="18"/>
      <c r="K501" s="53">
        <f t="shared" si="35"/>
        <v>546000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2146000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2146000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2100727.77</v>
      </c>
      <c r="G520" s="18">
        <v>869833.9</v>
      </c>
      <c r="H520" s="18">
        <v>272980.77</v>
      </c>
      <c r="I520" s="18">
        <v>10869.4</v>
      </c>
      <c r="J520" s="18">
        <v>9802.39</v>
      </c>
      <c r="K520" s="18"/>
      <c r="L520" s="88">
        <f>SUM(F520:K520)</f>
        <v>3264214.23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1717223.81</v>
      </c>
      <c r="G521" s="18">
        <v>711039.06</v>
      </c>
      <c r="H521" s="18">
        <v>376405.87</v>
      </c>
      <c r="I521" s="18">
        <v>8628.11</v>
      </c>
      <c r="J521" s="18">
        <v>5870.08</v>
      </c>
      <c r="K521" s="18"/>
      <c r="L521" s="88">
        <f>SUM(F521:K521)</f>
        <v>2819166.93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2023548.36</v>
      </c>
      <c r="G522" s="18">
        <v>837876.76</v>
      </c>
      <c r="H522" s="18">
        <v>1486300.72</v>
      </c>
      <c r="I522" s="18">
        <v>11487.52</v>
      </c>
      <c r="J522" s="18">
        <v>8566.85</v>
      </c>
      <c r="K522" s="18"/>
      <c r="L522" s="88">
        <f>SUM(F522:K522)</f>
        <v>4367780.209999999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5841499.9400000004</v>
      </c>
      <c r="G523" s="108">
        <f t="shared" ref="G523:L523" si="36">SUM(G520:G522)</f>
        <v>2418749.7199999997</v>
      </c>
      <c r="H523" s="108">
        <f t="shared" si="36"/>
        <v>2135687.36</v>
      </c>
      <c r="I523" s="108">
        <f t="shared" si="36"/>
        <v>30985.030000000002</v>
      </c>
      <c r="J523" s="108">
        <f t="shared" si="36"/>
        <v>24239.32</v>
      </c>
      <c r="K523" s="108">
        <f t="shared" si="36"/>
        <v>0</v>
      </c>
      <c r="L523" s="89">
        <f t="shared" si="36"/>
        <v>10451161.369999999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459923.44</v>
      </c>
      <c r="G525" s="18">
        <v>190437.34</v>
      </c>
      <c r="H525" s="18">
        <v>41419.599999999999</v>
      </c>
      <c r="I525" s="18">
        <v>6739.71</v>
      </c>
      <c r="J525" s="18">
        <v>65.489999999999995</v>
      </c>
      <c r="K525" s="18">
        <v>5818.24</v>
      </c>
      <c r="L525" s="88">
        <f>SUM(F525:K525)</f>
        <v>704403.82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284135.11</v>
      </c>
      <c r="G526" s="18">
        <v>117649.87</v>
      </c>
      <c r="H526" s="18">
        <v>25588.53</v>
      </c>
      <c r="I526" s="18">
        <v>4163.71</v>
      </c>
      <c r="J526" s="18">
        <v>40.450000000000003</v>
      </c>
      <c r="K526" s="18">
        <v>3594.44</v>
      </c>
      <c r="L526" s="88">
        <f>SUM(F526:K526)</f>
        <v>435172.11000000004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414730.66</v>
      </c>
      <c r="G527" s="18">
        <v>171724.67</v>
      </c>
      <c r="H527" s="18">
        <v>37349.65</v>
      </c>
      <c r="I527" s="18">
        <v>6077.45</v>
      </c>
      <c r="J527" s="18">
        <v>59.05</v>
      </c>
      <c r="K527" s="18">
        <v>5246.53</v>
      </c>
      <c r="L527" s="88">
        <f>SUM(F527:K527)</f>
        <v>635188.01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1158789.21</v>
      </c>
      <c r="G528" s="89">
        <f t="shared" ref="G528:L528" si="37">SUM(G525:G527)</f>
        <v>479811.88</v>
      </c>
      <c r="H528" s="89">
        <f t="shared" si="37"/>
        <v>104357.78</v>
      </c>
      <c r="I528" s="89">
        <f t="shared" si="37"/>
        <v>16980.87</v>
      </c>
      <c r="J528" s="89">
        <f t="shared" si="37"/>
        <v>164.99</v>
      </c>
      <c r="K528" s="89">
        <f t="shared" si="37"/>
        <v>14659.21</v>
      </c>
      <c r="L528" s="89">
        <f t="shared" si="37"/>
        <v>1774763.94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121455.36</v>
      </c>
      <c r="G530" s="18">
        <v>50290.18</v>
      </c>
      <c r="H530" s="18">
        <v>2605.08</v>
      </c>
      <c r="I530" s="18">
        <v>284.55</v>
      </c>
      <c r="J530" s="18"/>
      <c r="K530" s="18"/>
      <c r="L530" s="88">
        <f>SUM(F530:K530)</f>
        <v>174635.16999999998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75033.64</v>
      </c>
      <c r="G531" s="18">
        <v>31068.66</v>
      </c>
      <c r="H531" s="18">
        <v>1609.39</v>
      </c>
      <c r="I531" s="18">
        <v>175.79</v>
      </c>
      <c r="J531" s="18"/>
      <c r="K531" s="18"/>
      <c r="L531" s="88">
        <f>SUM(F531:K531)</f>
        <v>107887.48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109520.97</v>
      </c>
      <c r="G532" s="18">
        <v>45348.6</v>
      </c>
      <c r="H532" s="18">
        <v>2349.1</v>
      </c>
      <c r="I532" s="18">
        <v>256.58999999999997</v>
      </c>
      <c r="J532" s="18"/>
      <c r="K532" s="18"/>
      <c r="L532" s="88">
        <f>SUM(F532:K532)</f>
        <v>157475.26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306009.96999999997</v>
      </c>
      <c r="G533" s="89">
        <f t="shared" ref="G533:L533" si="38">SUM(G530:G532)</f>
        <v>126707.44</v>
      </c>
      <c r="H533" s="89">
        <f t="shared" si="38"/>
        <v>6563.57</v>
      </c>
      <c r="I533" s="89">
        <f t="shared" si="38"/>
        <v>716.93000000000006</v>
      </c>
      <c r="J533" s="89">
        <f t="shared" si="38"/>
        <v>0</v>
      </c>
      <c r="K533" s="89">
        <f t="shared" si="38"/>
        <v>0</v>
      </c>
      <c r="L533" s="89">
        <f t="shared" si="38"/>
        <v>439997.91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10809.14</v>
      </c>
      <c r="I535" s="18"/>
      <c r="J535" s="18"/>
      <c r="K535" s="18"/>
      <c r="L535" s="88">
        <f>SUM(F535:K535)</f>
        <v>10809.14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6677.76</v>
      </c>
      <c r="I536" s="18"/>
      <c r="J536" s="18"/>
      <c r="K536" s="18"/>
      <c r="L536" s="88">
        <f>SUM(F536:K536)</f>
        <v>6677.76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9747.02</v>
      </c>
      <c r="I537" s="18"/>
      <c r="J537" s="18"/>
      <c r="K537" s="18"/>
      <c r="L537" s="88">
        <f>SUM(F537:K537)</f>
        <v>9747.02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27233.920000000002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27233.920000000002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285597.15000000002</v>
      </c>
      <c r="I540" s="18"/>
      <c r="J540" s="18"/>
      <c r="K540" s="18"/>
      <c r="L540" s="88">
        <f>SUM(F540:K540)</f>
        <v>285597.15000000002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176438.45</v>
      </c>
      <c r="I541" s="18"/>
      <c r="J541" s="18"/>
      <c r="K541" s="18"/>
      <c r="L541" s="88">
        <f>SUM(F541:K541)</f>
        <v>176438.45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257533.93</v>
      </c>
      <c r="I542" s="18"/>
      <c r="J542" s="18"/>
      <c r="K542" s="18"/>
      <c r="L542" s="88">
        <f>SUM(F542:K542)</f>
        <v>257533.93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719569.53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719569.53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7306299.1200000001</v>
      </c>
      <c r="G544" s="89">
        <f t="shared" ref="G544:L544" si="41">G523+G528+G533+G538+G543</f>
        <v>3025269.0399999996</v>
      </c>
      <c r="H544" s="89">
        <f t="shared" si="41"/>
        <v>2993412.1599999992</v>
      </c>
      <c r="I544" s="89">
        <f t="shared" si="41"/>
        <v>48682.83</v>
      </c>
      <c r="J544" s="89">
        <f t="shared" si="41"/>
        <v>24404.31</v>
      </c>
      <c r="K544" s="89">
        <f t="shared" si="41"/>
        <v>14659.21</v>
      </c>
      <c r="L544" s="89">
        <f t="shared" si="41"/>
        <v>13412726.669999998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3264214.23</v>
      </c>
      <c r="G548" s="87">
        <f>L525</f>
        <v>704403.82</v>
      </c>
      <c r="H548" s="87">
        <f>L530</f>
        <v>174635.16999999998</v>
      </c>
      <c r="I548" s="87">
        <f>L535</f>
        <v>10809.14</v>
      </c>
      <c r="J548" s="87">
        <f>L540</f>
        <v>285597.15000000002</v>
      </c>
      <c r="K548" s="87">
        <f>SUM(F548:J548)</f>
        <v>4439659.51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2819166.93</v>
      </c>
      <c r="G549" s="87">
        <f>L526</f>
        <v>435172.11000000004</v>
      </c>
      <c r="H549" s="87">
        <f>L531</f>
        <v>107887.48</v>
      </c>
      <c r="I549" s="87">
        <f>L536</f>
        <v>6677.76</v>
      </c>
      <c r="J549" s="87">
        <f>L541</f>
        <v>176438.45</v>
      </c>
      <c r="K549" s="87">
        <f>SUM(F549:J549)</f>
        <v>3545342.73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4367780.209999999</v>
      </c>
      <c r="G550" s="87">
        <f>L527</f>
        <v>635188.01</v>
      </c>
      <c r="H550" s="87">
        <f>L532</f>
        <v>157475.26</v>
      </c>
      <c r="I550" s="87">
        <f>L537</f>
        <v>9747.02</v>
      </c>
      <c r="J550" s="87">
        <f>L542</f>
        <v>257533.93</v>
      </c>
      <c r="K550" s="87">
        <f>SUM(F550:J550)</f>
        <v>5427724.4299999978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10451161.369999999</v>
      </c>
      <c r="G551" s="89">
        <f t="shared" si="42"/>
        <v>1774763.94</v>
      </c>
      <c r="H551" s="89">
        <f t="shared" si="42"/>
        <v>439997.91</v>
      </c>
      <c r="I551" s="89">
        <f t="shared" si="42"/>
        <v>27233.920000000002</v>
      </c>
      <c r="J551" s="89">
        <f t="shared" si="42"/>
        <v>719569.53</v>
      </c>
      <c r="K551" s="89">
        <f t="shared" si="42"/>
        <v>13412726.669999998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233631.64</f>
        <v>233631.64</v>
      </c>
      <c r="G566" s="18">
        <f>F566*33%</f>
        <v>77098.441200000001</v>
      </c>
      <c r="H566" s="18"/>
      <c r="I566" s="18">
        <v>1514.18</v>
      </c>
      <c r="J566" s="18"/>
      <c r="K566" s="18"/>
      <c r="L566" s="88">
        <f>SUM(F566:K566)</f>
        <v>312244.26120000001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60277</v>
      </c>
      <c r="G567" s="18">
        <f t="shared" ref="G567" si="45">F567*33%</f>
        <v>19891.41</v>
      </c>
      <c r="H567" s="18"/>
      <c r="I567" s="18">
        <f>1878.58+1891.25</f>
        <v>3769.83</v>
      </c>
      <c r="J567" s="18">
        <v>598.45000000000005</v>
      </c>
      <c r="K567" s="18"/>
      <c r="L567" s="88">
        <f>SUM(F567:K567)</f>
        <v>84536.69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>
        <f>532.07+2800</f>
        <v>3332.07</v>
      </c>
      <c r="I568" s="18">
        <v>277.04000000000002</v>
      </c>
      <c r="J568" s="18"/>
      <c r="K568" s="18"/>
      <c r="L568" s="88">
        <f>SUM(F568:K568)</f>
        <v>3609.11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293908.64</v>
      </c>
      <c r="G569" s="193">
        <f t="shared" ref="G569:L569" si="46">SUM(G566:G568)</f>
        <v>96989.851200000005</v>
      </c>
      <c r="H569" s="193">
        <f t="shared" si="46"/>
        <v>3332.07</v>
      </c>
      <c r="I569" s="193">
        <f t="shared" si="46"/>
        <v>5561.05</v>
      </c>
      <c r="J569" s="193">
        <f t="shared" si="46"/>
        <v>598.45000000000005</v>
      </c>
      <c r="K569" s="193">
        <f t="shared" si="46"/>
        <v>0</v>
      </c>
      <c r="L569" s="193">
        <f t="shared" si="46"/>
        <v>400390.0612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293908.64</v>
      </c>
      <c r="G570" s="89">
        <f t="shared" ref="G570:L570" si="47">G559+G564+G569</f>
        <v>96989.851200000005</v>
      </c>
      <c r="H570" s="89">
        <f t="shared" si="47"/>
        <v>3332.07</v>
      </c>
      <c r="I570" s="89">
        <f t="shared" si="47"/>
        <v>5561.05</v>
      </c>
      <c r="J570" s="89">
        <f t="shared" si="47"/>
        <v>598.45000000000005</v>
      </c>
      <c r="K570" s="89">
        <f t="shared" si="47"/>
        <v>0</v>
      </c>
      <c r="L570" s="89">
        <f t="shared" si="47"/>
        <v>400390.0612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102416.54</v>
      </c>
      <c r="G581" s="18">
        <v>269819.11</v>
      </c>
      <c r="H581" s="18">
        <f>1330850.11+8000</f>
        <v>1338850.1100000001</v>
      </c>
      <c r="I581" s="87">
        <f t="shared" si="48"/>
        <v>1711085.76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76038.600000000006</v>
      </c>
      <c r="I583" s="87">
        <f t="shared" si="48"/>
        <v>76038.600000000006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667510.18000000005</v>
      </c>
      <c r="I590" s="18">
        <v>412403.43</v>
      </c>
      <c r="J590" s="18">
        <v>567037.61</v>
      </c>
      <c r="K590" s="104">
        <f t="shared" ref="K590:K596" si="49">SUM(H590:J590)</f>
        <v>1646951.2200000002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285597.15000000002</v>
      </c>
      <c r="I591" s="18">
        <v>176438.45</v>
      </c>
      <c r="J591" s="18">
        <v>257533.93</v>
      </c>
      <c r="K591" s="104">
        <f t="shared" si="49"/>
        <v>719569.53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60857</v>
      </c>
      <c r="K592" s="104">
        <f t="shared" si="49"/>
        <v>60857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19711</v>
      </c>
      <c r="J593" s="18">
        <v>77361.69</v>
      </c>
      <c r="K593" s="104">
        <f t="shared" si="49"/>
        <v>97072.69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8124.43</v>
      </c>
      <c r="I594" s="18">
        <v>6792.04</v>
      </c>
      <c r="J594" s="18">
        <v>7570.91</v>
      </c>
      <c r="K594" s="104">
        <f t="shared" si="49"/>
        <v>22487.38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34789.15</v>
      </c>
      <c r="K596" s="104">
        <f t="shared" si="49"/>
        <v>34789.15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961231.76000000013</v>
      </c>
      <c r="I597" s="108">
        <f>SUM(I590:I596)</f>
        <v>615344.92000000004</v>
      </c>
      <c r="J597" s="108">
        <f>SUM(J590:J596)</f>
        <v>1005150.29</v>
      </c>
      <c r="K597" s="108">
        <f>SUM(K590:K596)</f>
        <v>2581726.9699999997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275726.14</v>
      </c>
      <c r="I603" s="18">
        <v>201122.55</v>
      </c>
      <c r="J603" s="18">
        <f>324931.86+1667.65+15604.5</f>
        <v>342204.01</v>
      </c>
      <c r="K603" s="104">
        <f>SUM(H603:J603)</f>
        <v>819052.7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275726.14</v>
      </c>
      <c r="I604" s="108">
        <f>SUM(I601:I603)</f>
        <v>201122.55</v>
      </c>
      <c r="J604" s="108">
        <f>SUM(J601:J603)</f>
        <v>342204.01</v>
      </c>
      <c r="K604" s="108">
        <f>SUM(K601:K603)</f>
        <v>819052.7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21031.64</v>
      </c>
      <c r="G612" s="18"/>
      <c r="H612" s="18"/>
      <c r="I612" s="18">
        <v>1345.67</v>
      </c>
      <c r="J612" s="18"/>
      <c r="K612" s="18"/>
      <c r="L612" s="88">
        <f>SUM(F612:K612)</f>
        <v>22377.309999999998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21031.64</v>
      </c>
      <c r="G613" s="108">
        <f t="shared" si="50"/>
        <v>0</v>
      </c>
      <c r="H613" s="108">
        <f t="shared" si="50"/>
        <v>0</v>
      </c>
      <c r="I613" s="108">
        <f t="shared" si="50"/>
        <v>1345.67</v>
      </c>
      <c r="J613" s="108">
        <f t="shared" si="50"/>
        <v>0</v>
      </c>
      <c r="K613" s="108">
        <f t="shared" si="50"/>
        <v>0</v>
      </c>
      <c r="L613" s="89">
        <f t="shared" si="50"/>
        <v>22377.309999999998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2835682.93</v>
      </c>
      <c r="H616" s="109">
        <f>SUM(F51)</f>
        <v>2835682.9299999997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375012.87</v>
      </c>
      <c r="H617" s="109">
        <f>SUM(G51)</f>
        <v>375012.87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667286.63</v>
      </c>
      <c r="H618" s="109">
        <f>SUM(H51)</f>
        <v>667286.63000000012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704805.14</v>
      </c>
      <c r="H620" s="109">
        <f>SUM(J51)</f>
        <v>704805.14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2477758.13</v>
      </c>
      <c r="H621" s="109">
        <f>F475</f>
        <v>2477758.1299999952</v>
      </c>
      <c r="I621" s="121" t="s">
        <v>101</v>
      </c>
      <c r="J621" s="109">
        <f t="shared" ref="J621:J654" si="51">G621-H621</f>
        <v>4.6566128730773926E-9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14773.17</v>
      </c>
      <c r="H622" s="109">
        <f>G475</f>
        <v>14773.169999999925</v>
      </c>
      <c r="I622" s="121" t="s">
        <v>102</v>
      </c>
      <c r="J622" s="109">
        <f t="shared" si="51"/>
        <v>7.4578565545380116E-11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105484.92</v>
      </c>
      <c r="H623" s="109">
        <f>H475</f>
        <v>105484.91999999993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704805.14</v>
      </c>
      <c r="H625" s="109">
        <f>J475</f>
        <v>704805.14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58250037.939999998</v>
      </c>
      <c r="H626" s="104">
        <f>SUM(F467)</f>
        <v>58250037.939999998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1574994.41</v>
      </c>
      <c r="H627" s="104">
        <f>SUM(G467)</f>
        <v>1574994.41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1504160.73</v>
      </c>
      <c r="H628" s="104">
        <f>SUM(H467)</f>
        <v>1504160.73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200486.41</v>
      </c>
      <c r="H630" s="104">
        <f>SUM(J467)</f>
        <v>200486.41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58192022.939999998</v>
      </c>
      <c r="H631" s="104">
        <f>SUM(F471)</f>
        <v>58192022.939999998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1433739.93</v>
      </c>
      <c r="H632" s="104">
        <f>SUM(H471)</f>
        <v>1433739.9300000002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101550.84</v>
      </c>
      <c r="H633" s="104">
        <f>I368</f>
        <v>101550.84000000001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1601004.99</v>
      </c>
      <c r="H634" s="104">
        <f>SUM(G471)</f>
        <v>1601004.99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200486.41</v>
      </c>
      <c r="H636" s="164">
        <f>SUM(J467)</f>
        <v>200486.41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704805.14</v>
      </c>
      <c r="H638" s="104">
        <f>SUM(F460)</f>
        <v>704805.14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704805.14</v>
      </c>
      <c r="H641" s="104">
        <f>SUM(I460)</f>
        <v>704805.14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486.41</v>
      </c>
      <c r="H643" s="104">
        <f>H407</f>
        <v>486.41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200486.41</v>
      </c>
      <c r="H645" s="104">
        <f>L407</f>
        <v>200486.41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2581726.9699999997</v>
      </c>
      <c r="H646" s="104">
        <f>L207+L225+L243</f>
        <v>2581726.9700000002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819052.7</v>
      </c>
      <c r="H647" s="104">
        <f>(J256+J337)-(J254+J335)</f>
        <v>819052.70000000007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961231.76</v>
      </c>
      <c r="H648" s="104">
        <f>H597</f>
        <v>961231.76000000013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615344.92000000004</v>
      </c>
      <c r="H649" s="104">
        <f>I597</f>
        <v>615344.92000000004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1005150.29</v>
      </c>
      <c r="H650" s="104">
        <f>J597</f>
        <v>1005150.29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155110.67000000001</v>
      </c>
      <c r="H651" s="104">
        <f>K262+K344</f>
        <v>155110.67000000001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22710901.98</v>
      </c>
      <c r="G659" s="19">
        <f>(L228+L308+L358)</f>
        <v>14439622.48</v>
      </c>
      <c r="H659" s="19">
        <f>(L246+L327+L359)</f>
        <v>20631939.709999997</v>
      </c>
      <c r="I659" s="19">
        <f>SUM(F659:H659)</f>
        <v>57782464.170000002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434189.69887530373</v>
      </c>
      <c r="G660" s="19">
        <f>(L358/IF(SUM(L357:L359)=0,1,SUM(L357:L359))*(SUM(G96:G109)))</f>
        <v>218615.97872689881</v>
      </c>
      <c r="H660" s="19">
        <f>(L359/IF(SUM(L357:L359)=0,1,SUM(L357:L359))*(SUM(G96:G109)))</f>
        <v>319370.59239779745</v>
      </c>
      <c r="I660" s="19">
        <f>SUM(F660:H660)</f>
        <v>972176.27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961231.76</v>
      </c>
      <c r="G661" s="19">
        <f>(L225+L305)-(J225+J305)</f>
        <v>615344.92000000004</v>
      </c>
      <c r="H661" s="19">
        <f>(L243+L324)-(J243+J324)</f>
        <v>1005150.29</v>
      </c>
      <c r="I661" s="19">
        <f>SUM(F661:H661)</f>
        <v>2581726.9700000002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378142.68</v>
      </c>
      <c r="G662" s="199">
        <f>SUM(G574:G586)+SUM(I601:I603)+L611</f>
        <v>470941.66</v>
      </c>
      <c r="H662" s="199">
        <f>SUM(H574:H586)+SUM(J601:J603)+L612</f>
        <v>1779470.0300000003</v>
      </c>
      <c r="I662" s="19">
        <f>SUM(F662:H662)</f>
        <v>2628554.37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20937337.841124699</v>
      </c>
      <c r="G663" s="19">
        <f>G659-SUM(G660:G662)</f>
        <v>13134719.921273101</v>
      </c>
      <c r="H663" s="19">
        <f>H659-SUM(H660:H662)</f>
        <v>17527948.797602199</v>
      </c>
      <c r="I663" s="19">
        <f>I659-SUM(I660:I662)</f>
        <v>51600006.560000002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51.39+124.22+1370.36</f>
        <v>1545.9699999999998</v>
      </c>
      <c r="G664" s="248">
        <v>955.12</v>
      </c>
      <c r="H664" s="248">
        <v>1393.84</v>
      </c>
      <c r="I664" s="19">
        <f>SUM(F664:H664)</f>
        <v>3894.9299999999994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13543.17</v>
      </c>
      <c r="G666" s="19">
        <f>ROUND(G663/G664,2)</f>
        <v>13751.91</v>
      </c>
      <c r="H666" s="19">
        <f>ROUND(H663/H664,2)</f>
        <v>12575.29</v>
      </c>
      <c r="I666" s="19">
        <f>ROUND(I663/I664,2)</f>
        <v>13247.99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-23.75</v>
      </c>
      <c r="I669" s="19">
        <f>SUM(F669:H669)</f>
        <v>-23.75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13543.17</v>
      </c>
      <c r="G671" s="19">
        <f>ROUND((G663+G668)/(G664+G669),2)</f>
        <v>13751.91</v>
      </c>
      <c r="H671" s="19">
        <f>ROUND((H663+H668)/(H664+H669),2)</f>
        <v>12793.28</v>
      </c>
      <c r="I671" s="19">
        <f>ROUND((I663+I668)/(I664+I669),2)</f>
        <v>13329.27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3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Timberlane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17170138.27</v>
      </c>
      <c r="C9" s="229">
        <f>'DOE25'!G196+'DOE25'!G214+'DOE25'!G232+'DOE25'!G275+'DOE25'!G294+'DOE25'!G313</f>
        <v>7022548.7399999993</v>
      </c>
    </row>
    <row r="10" spans="1:3" x14ac:dyDescent="0.2">
      <c r="A10" t="s">
        <v>779</v>
      </c>
      <c r="B10" s="240">
        <v>15561278.57</v>
      </c>
      <c r="C10" s="240">
        <f>B10/B9*C9</f>
        <v>6364528.6657637674</v>
      </c>
    </row>
    <row r="11" spans="1:3" x14ac:dyDescent="0.2">
      <c r="A11" t="s">
        <v>780</v>
      </c>
      <c r="B11" s="240">
        <v>990252.12</v>
      </c>
      <c r="C11" s="240">
        <f>B11/B9*C9</f>
        <v>405010.93632650917</v>
      </c>
    </row>
    <row r="12" spans="1:3" x14ac:dyDescent="0.2">
      <c r="A12" t="s">
        <v>781</v>
      </c>
      <c r="B12" s="240">
        <f>B9-B10-B11</f>
        <v>618607.57999999926</v>
      </c>
      <c r="C12" s="240">
        <f>C9-C10-C11</f>
        <v>253009.13790972269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17170138.27</v>
      </c>
      <c r="C13" s="231">
        <f>SUM(C10:C12)</f>
        <v>7022548.7399999993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6536758.0700000012</v>
      </c>
      <c r="C18" s="229">
        <f>'DOE25'!G197+'DOE25'!G215+'DOE25'!G233+'DOE25'!G276+'DOE25'!G295+'DOE25'!G314</f>
        <v>2418749.7199999997</v>
      </c>
    </row>
    <row r="19" spans="1:3" x14ac:dyDescent="0.2">
      <c r="A19" t="s">
        <v>779</v>
      </c>
      <c r="B19" s="240">
        <f>4094484.36</f>
        <v>4094484.36</v>
      </c>
      <c r="C19" s="240">
        <f>B19/B18*C18</f>
        <v>1515052.6902236075</v>
      </c>
    </row>
    <row r="20" spans="1:3" x14ac:dyDescent="0.2">
      <c r="A20" t="s">
        <v>780</v>
      </c>
      <c r="B20" s="240">
        <v>2119991.21</v>
      </c>
      <c r="C20" s="240">
        <f>B20/B18*C18</f>
        <v>784445.14707119332</v>
      </c>
    </row>
    <row r="21" spans="1:3" x14ac:dyDescent="0.2">
      <c r="A21" t="s">
        <v>781</v>
      </c>
      <c r="B21" s="240">
        <f>B18-B19-B20</f>
        <v>322282.5000000014</v>
      </c>
      <c r="C21" s="240">
        <f>C18-C19-C20</f>
        <v>119251.88270519895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6536758.0700000022</v>
      </c>
      <c r="C22" s="231">
        <f>SUM(C19:C21)</f>
        <v>2418749.7199999997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607425.68999999994</v>
      </c>
      <c r="C36" s="235">
        <f>'DOE25'!G199+'DOE25'!G217+'DOE25'!G235+'DOE25'!G278+'DOE25'!G297+'DOE25'!G316</f>
        <v>251512.58000000002</v>
      </c>
    </row>
    <row r="37" spans="1:3" x14ac:dyDescent="0.2">
      <c r="A37" t="s">
        <v>779</v>
      </c>
      <c r="B37" s="240">
        <v>486174.6</v>
      </c>
      <c r="C37" s="240">
        <f>B37/B36*C36</f>
        <v>201306.97464650864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f>B36-B37</f>
        <v>121251.08999999997</v>
      </c>
      <c r="C39" s="240">
        <f>C36-C37</f>
        <v>50205.605353491381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607425.68999999994</v>
      </c>
      <c r="C40" s="231">
        <f>SUM(C37:C39)</f>
        <v>251512.58000000002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Timberlane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37076616.810000002</v>
      </c>
      <c r="D5" s="20">
        <f>SUM('DOE25'!L196:L199)+SUM('DOE25'!L214:L217)+SUM('DOE25'!L232:L235)-F5-G5</f>
        <v>36425686.930000007</v>
      </c>
      <c r="E5" s="243"/>
      <c r="F5" s="255">
        <f>SUM('DOE25'!J196:J199)+SUM('DOE25'!J214:J217)+SUM('DOE25'!J232:J235)</f>
        <v>564194.4</v>
      </c>
      <c r="G5" s="53">
        <f>SUM('DOE25'!K196:K199)+SUM('DOE25'!K214:K217)+SUM('DOE25'!K232:K235)</f>
        <v>86735.48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4290439.3499999996</v>
      </c>
      <c r="D6" s="20">
        <f>'DOE25'!L201+'DOE25'!L219+'DOE25'!L237-F6-G6</f>
        <v>4269745.3999999994</v>
      </c>
      <c r="E6" s="243"/>
      <c r="F6" s="255">
        <f>'DOE25'!J201+'DOE25'!J219+'DOE25'!J237</f>
        <v>6034.76</v>
      </c>
      <c r="G6" s="53">
        <f>'DOE25'!K201+'DOE25'!K219+'DOE25'!K237</f>
        <v>14659.189999999999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1238350.54</v>
      </c>
      <c r="D7" s="20">
        <f>'DOE25'!L202+'DOE25'!L220+'DOE25'!L238-F7-G7</f>
        <v>1220549.29</v>
      </c>
      <c r="E7" s="243"/>
      <c r="F7" s="255">
        <f>'DOE25'!J202+'DOE25'!J220+'DOE25'!J238</f>
        <v>17801.25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1501844.1700000002</v>
      </c>
      <c r="D8" s="243"/>
      <c r="E8" s="20">
        <f>'DOE25'!L203+'DOE25'!L221+'DOE25'!L239-F8-G8-D9-D11</f>
        <v>1463566.7600000002</v>
      </c>
      <c r="F8" s="255">
        <f>'DOE25'!J203+'DOE25'!J221+'DOE25'!J239</f>
        <v>1823</v>
      </c>
      <c r="G8" s="53">
        <f>'DOE25'!K203+'DOE25'!K221+'DOE25'!K239</f>
        <v>36454.410000000003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11280</v>
      </c>
      <c r="D9" s="244">
        <f>9200+2080</f>
        <v>11280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25139</v>
      </c>
      <c r="D10" s="243"/>
      <c r="E10" s="244">
        <v>25139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400366.38</v>
      </c>
      <c r="D11" s="244">
        <v>400366.38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3389361.3600000003</v>
      </c>
      <c r="D12" s="20">
        <f>'DOE25'!L204+'DOE25'!L222+'DOE25'!L240-F12-G12</f>
        <v>3354488.1900000004</v>
      </c>
      <c r="E12" s="243"/>
      <c r="F12" s="255">
        <f>'DOE25'!J204+'DOE25'!J222+'DOE25'!J240</f>
        <v>18522.169999999998</v>
      </c>
      <c r="G12" s="53">
        <f>'DOE25'!K204+'DOE25'!K222+'DOE25'!K240</f>
        <v>16351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52121.31</v>
      </c>
      <c r="D13" s="243"/>
      <c r="E13" s="20">
        <f>'DOE25'!L205+'DOE25'!L223+'DOE25'!L241-F13-G13</f>
        <v>52121.31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3897828.41</v>
      </c>
      <c r="D14" s="20">
        <f>'DOE25'!L206+'DOE25'!L224+'DOE25'!L242-F14-G14</f>
        <v>3785728.41</v>
      </c>
      <c r="E14" s="243"/>
      <c r="F14" s="255">
        <f>'DOE25'!J206+'DOE25'!J224+'DOE25'!J242</f>
        <v>112100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2581726.9700000002</v>
      </c>
      <c r="D15" s="20">
        <f>'DOE25'!L207+'DOE25'!L225+'DOE25'!L243-F15-G15</f>
        <v>2581726.9700000002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369391.3</v>
      </c>
      <c r="D16" s="243"/>
      <c r="E16" s="20">
        <f>'DOE25'!L208+'DOE25'!L226+'DOE25'!L244-F16-G16</f>
        <v>337963.57</v>
      </c>
      <c r="F16" s="255">
        <f>'DOE25'!J208+'DOE25'!J226+'DOE25'!J244</f>
        <v>31427.730000000003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207120.63999999998</v>
      </c>
      <c r="D17" s="20">
        <f>'DOE25'!L250-F17-G17</f>
        <v>207120.63999999998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590465.03</v>
      </c>
      <c r="D22" s="243"/>
      <c r="E22" s="243"/>
      <c r="F22" s="255">
        <f>'DOE25'!L254+'DOE25'!L335</f>
        <v>590465.03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2230000</v>
      </c>
      <c r="D25" s="243"/>
      <c r="E25" s="243"/>
      <c r="F25" s="258"/>
      <c r="G25" s="256"/>
      <c r="H25" s="257">
        <f>'DOE25'!L259+'DOE25'!L260+'DOE25'!L340+'DOE25'!L341</f>
        <v>2230000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1509194.92</v>
      </c>
      <c r="D29" s="20">
        <f>'DOE25'!L357+'DOE25'!L358+'DOE25'!L359-'DOE25'!I366-F29-G29</f>
        <v>1489329.17</v>
      </c>
      <c r="E29" s="243"/>
      <c r="F29" s="255">
        <f>'DOE25'!J357+'DOE25'!J358+'DOE25'!J359</f>
        <v>0</v>
      </c>
      <c r="G29" s="53">
        <f>'DOE25'!K357+'DOE25'!K358+'DOE25'!K359</f>
        <v>19865.75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1433739.93</v>
      </c>
      <c r="D31" s="20">
        <f>'DOE25'!L289+'DOE25'!L308+'DOE25'!L327+'DOE25'!L332+'DOE25'!L333+'DOE25'!L334-F31-G31</f>
        <v>1366590.54</v>
      </c>
      <c r="E31" s="243"/>
      <c r="F31" s="255">
        <f>'DOE25'!J289+'DOE25'!J308+'DOE25'!J327+'DOE25'!J332+'DOE25'!J333+'DOE25'!J334</f>
        <v>67149.39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55112611.920000009</v>
      </c>
      <c r="E33" s="246">
        <f>SUM(E5:E31)</f>
        <v>1878790.6400000004</v>
      </c>
      <c r="F33" s="246">
        <f>SUM(F5:F31)</f>
        <v>1409517.73</v>
      </c>
      <c r="G33" s="246">
        <f>SUM(G5:G31)</f>
        <v>174065.83000000002</v>
      </c>
      <c r="H33" s="246">
        <f>SUM(H5:H31)</f>
        <v>2230000</v>
      </c>
    </row>
    <row r="35" spans="2:8" ht="12" thickBot="1" x14ac:dyDescent="0.25">
      <c r="B35" s="253" t="s">
        <v>847</v>
      </c>
      <c r="D35" s="254">
        <f>E33</f>
        <v>1878790.6400000004</v>
      </c>
      <c r="E35" s="249"/>
    </row>
    <row r="36" spans="2:8" ht="12" thickTop="1" x14ac:dyDescent="0.2">
      <c r="B36" t="s">
        <v>815</v>
      </c>
      <c r="D36" s="20">
        <f>D33</f>
        <v>55112611.920000009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1601211.28</v>
      </c>
      <c r="D8" s="95">
        <f>'DOE25'!G9</f>
        <v>282860.82</v>
      </c>
      <c r="E8" s="95">
        <f>'DOE25'!H9</f>
        <v>72811.92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704805.14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741697.34</v>
      </c>
      <c r="D11" s="95">
        <f>'DOE25'!G12</f>
        <v>0</v>
      </c>
      <c r="E11" s="95">
        <f>'DOE25'!H12</f>
        <v>58250.03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432875.79</v>
      </c>
      <c r="D12" s="95">
        <f>'DOE25'!G13</f>
        <v>77378.880000000005</v>
      </c>
      <c r="E12" s="95">
        <f>'DOE25'!H13</f>
        <v>532406.68000000005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49148.52</v>
      </c>
      <c r="D13" s="95">
        <f>'DOE25'!G14</f>
        <v>0</v>
      </c>
      <c r="E13" s="95">
        <f>'DOE25'!H14</f>
        <v>3818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14773.17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10750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2835682.93</v>
      </c>
      <c r="D18" s="41">
        <f>SUM(D8:D17)</f>
        <v>375012.87</v>
      </c>
      <c r="E18" s="41">
        <f>SUM(E8:E17)</f>
        <v>667286.63</v>
      </c>
      <c r="F18" s="41">
        <f>SUM(F8:F17)</f>
        <v>0</v>
      </c>
      <c r="G18" s="41">
        <f>SUM(G8:G17)</f>
        <v>704805.14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258125.47</v>
      </c>
      <c r="E21" s="95">
        <f>'DOE25'!H22</f>
        <v>541821.9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30041.75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146865.73000000001</v>
      </c>
      <c r="D23" s="95">
        <f>'DOE25'!G24</f>
        <v>78729.03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178197.32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2820</v>
      </c>
      <c r="D29" s="95">
        <f>'DOE25'!G30</f>
        <v>23385.200000000001</v>
      </c>
      <c r="E29" s="95">
        <f>'DOE25'!H30</f>
        <v>19979.810000000001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357924.80000000005</v>
      </c>
      <c r="D31" s="41">
        <f>SUM(D21:D30)</f>
        <v>360239.7</v>
      </c>
      <c r="E31" s="41">
        <f>SUM(E21:E30)</f>
        <v>561801.71000000008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10750</v>
      </c>
      <c r="D34" s="95">
        <f>'DOE25'!G35</f>
        <v>14773.17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138361.62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105484.92</v>
      </c>
      <c r="F46" s="95">
        <f>'DOE25'!I47</f>
        <v>0</v>
      </c>
      <c r="G46" s="95">
        <f>'DOE25'!J47</f>
        <v>704805.14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2128646.5099999998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2477758.13</v>
      </c>
      <c r="D49" s="41">
        <f>SUM(D34:D48)</f>
        <v>14773.17</v>
      </c>
      <c r="E49" s="41">
        <f>SUM(E34:E48)</f>
        <v>105484.92</v>
      </c>
      <c r="F49" s="41">
        <f>SUM(F34:F48)</f>
        <v>0</v>
      </c>
      <c r="G49" s="41">
        <f>SUM(G34:G48)</f>
        <v>704805.14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2835682.9299999997</v>
      </c>
      <c r="D50" s="41">
        <f>D49+D31</f>
        <v>375012.87</v>
      </c>
      <c r="E50" s="41">
        <f>E49+E31</f>
        <v>667286.63000000012</v>
      </c>
      <c r="F50" s="41">
        <f>F49+F31</f>
        <v>0</v>
      </c>
      <c r="G50" s="41">
        <f>G49+G31</f>
        <v>704805.14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37383205.380000003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254882.94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5762.48</v>
      </c>
      <c r="D58" s="95">
        <f>'DOE25'!G95</f>
        <v>366.26</v>
      </c>
      <c r="E58" s="95">
        <f>'DOE25'!H95</f>
        <v>0</v>
      </c>
      <c r="F58" s="95">
        <f>'DOE25'!I95</f>
        <v>0</v>
      </c>
      <c r="G58" s="95">
        <f>'DOE25'!J95</f>
        <v>486.41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972176.27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519858.12</v>
      </c>
      <c r="D60" s="95">
        <f>SUM('DOE25'!G97:G109)</f>
        <v>0</v>
      </c>
      <c r="E60" s="95">
        <f>SUM('DOE25'!H97:H109)</f>
        <v>166461.75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780503.54</v>
      </c>
      <c r="D61" s="130">
        <f>SUM(D56:D60)</f>
        <v>972542.53</v>
      </c>
      <c r="E61" s="130">
        <f>SUM(E56:E60)</f>
        <v>166461.75</v>
      </c>
      <c r="F61" s="130">
        <f>SUM(F56:F60)</f>
        <v>0</v>
      </c>
      <c r="G61" s="130">
        <f>SUM(G56:G60)</f>
        <v>486.41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38163708.920000002</v>
      </c>
      <c r="D62" s="22">
        <f>D55+D61</f>
        <v>972542.53</v>
      </c>
      <c r="E62" s="22">
        <f>E55+E61</f>
        <v>166461.75</v>
      </c>
      <c r="F62" s="22">
        <f>F55+F61</f>
        <v>0</v>
      </c>
      <c r="G62" s="22">
        <f>G55+G61</f>
        <v>486.41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11620385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6244957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17865342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1083467.33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552943.25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14042.08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18304.62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1650452.6600000001</v>
      </c>
      <c r="D77" s="130">
        <f>SUM(D71:D76)</f>
        <v>18304.62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19515794.66</v>
      </c>
      <c r="D80" s="130">
        <f>SUM(D78:D79)+D77+D69</f>
        <v>18304.62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570534.36</v>
      </c>
      <c r="D87" s="95">
        <f>SUM('DOE25'!G152:G160)</f>
        <v>429036.58999999997</v>
      </c>
      <c r="E87" s="95">
        <f>SUM('DOE25'!H152:H160)</f>
        <v>1337698.98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570534.36</v>
      </c>
      <c r="D90" s="131">
        <f>SUM(D84:D89)</f>
        <v>429036.58999999997</v>
      </c>
      <c r="E90" s="131">
        <f>SUM(E84:E89)</f>
        <v>1337698.98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155110.67000000001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155110.67000000001</v>
      </c>
      <c r="E102" s="86">
        <f>SUM(E92:E101)</f>
        <v>0</v>
      </c>
      <c r="F102" s="86">
        <f>SUM(F92:F101)</f>
        <v>0</v>
      </c>
      <c r="G102" s="86">
        <f>SUM(G92:G101)</f>
        <v>200000</v>
      </c>
    </row>
    <row r="103" spans="1:7" ht="12.75" thickTop="1" thickBot="1" x14ac:dyDescent="0.25">
      <c r="A103" s="33" t="s">
        <v>765</v>
      </c>
      <c r="C103" s="86">
        <f>C62+C80+C90+C102</f>
        <v>58250037.939999998</v>
      </c>
      <c r="D103" s="86">
        <f>D62+D80+D90+D102</f>
        <v>1574994.41</v>
      </c>
      <c r="E103" s="86">
        <f>E62+E80+E90+E102</f>
        <v>1504160.73</v>
      </c>
      <c r="F103" s="86">
        <f>F62+F80+F90+F102</f>
        <v>0</v>
      </c>
      <c r="G103" s="86">
        <f>G62+G80+G102</f>
        <v>200486.41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25368982.759999998</v>
      </c>
      <c r="D108" s="24" t="s">
        <v>289</v>
      </c>
      <c r="E108" s="95">
        <f>('DOE25'!L275)+('DOE25'!L294)+('DOE25'!L313)</f>
        <v>348313.11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10451161.369999999</v>
      </c>
      <c r="D109" s="24" t="s">
        <v>289</v>
      </c>
      <c r="E109" s="95">
        <f>('DOE25'!L276)+('DOE25'!L295)+('DOE25'!L314)</f>
        <v>912935.66999999993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76038.600000000006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1180434.08</v>
      </c>
      <c r="D111" s="24" t="s">
        <v>289</v>
      </c>
      <c r="E111" s="95">
        <f>+('DOE25'!L278)+('DOE25'!L297)+('DOE25'!L316)</f>
        <v>21260.84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207120.63999999998</v>
      </c>
      <c r="D113" s="24" t="s">
        <v>289</v>
      </c>
      <c r="E113" s="95">
        <f>+ SUM('DOE25'!L332:L334)</f>
        <v>61607.350000000006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37283737.449999996</v>
      </c>
      <c r="D114" s="86">
        <f>SUM(D108:D113)</f>
        <v>0</v>
      </c>
      <c r="E114" s="86">
        <f>SUM(E108:E113)</f>
        <v>1344116.97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4290439.3499999996</v>
      </c>
      <c r="D117" s="24" t="s">
        <v>289</v>
      </c>
      <c r="E117" s="95">
        <f>+('DOE25'!L280)+('DOE25'!L299)+('DOE25'!L318)</f>
        <v>28792.83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1238350.54</v>
      </c>
      <c r="D118" s="24" t="s">
        <v>289</v>
      </c>
      <c r="E118" s="95">
        <f>+('DOE25'!L281)+('DOE25'!L300)+('DOE25'!L319)</f>
        <v>55197.41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1913490.55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3389361.3600000003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52121.31</v>
      </c>
      <c r="D121" s="24" t="s">
        <v>289</v>
      </c>
      <c r="E121" s="95">
        <f>+('DOE25'!L284)+('DOE25'!L303)+('DOE25'!L322)</f>
        <v>5632.72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3897828.41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2581726.9700000002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369391.3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1601004.99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17732709.790000003</v>
      </c>
      <c r="D127" s="86">
        <f>SUM(D117:D126)</f>
        <v>1601004.99</v>
      </c>
      <c r="E127" s="86">
        <f>SUM(E117:E126)</f>
        <v>89622.96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590465.03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630000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155110.67000000001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200486.41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-486.41000000000349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3175575.7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58192022.939999998</v>
      </c>
      <c r="D144" s="86">
        <f>(D114+D127+D143)</f>
        <v>1601004.99</v>
      </c>
      <c r="E144" s="86">
        <f>(E114+E127+E143)</f>
        <v>1433739.93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07/1999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08/2019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32000000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4.25 to 5.25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12800000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12800000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1600000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1600000</v>
      </c>
    </row>
    <row r="158" spans="1:9" x14ac:dyDescent="0.2">
      <c r="A158" s="22" t="s">
        <v>35</v>
      </c>
      <c r="B158" s="137">
        <f>'DOE25'!F497</f>
        <v>11200000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11200000</v>
      </c>
    </row>
    <row r="159" spans="1:9" x14ac:dyDescent="0.2">
      <c r="A159" s="22" t="s">
        <v>36</v>
      </c>
      <c r="B159" s="137">
        <f>'DOE25'!F498</f>
        <v>2058000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2058000</v>
      </c>
    </row>
    <row r="160" spans="1:9" x14ac:dyDescent="0.2">
      <c r="A160" s="22" t="s">
        <v>37</v>
      </c>
      <c r="B160" s="137">
        <f>'DOE25'!F499</f>
        <v>13258000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13258000</v>
      </c>
    </row>
    <row r="161" spans="1:7" x14ac:dyDescent="0.2">
      <c r="A161" s="22" t="s">
        <v>38</v>
      </c>
      <c r="B161" s="137">
        <f>'DOE25'!F500</f>
        <v>1600000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1600000</v>
      </c>
    </row>
    <row r="162" spans="1:7" x14ac:dyDescent="0.2">
      <c r="A162" s="22" t="s">
        <v>39</v>
      </c>
      <c r="B162" s="137">
        <f>'DOE25'!F501</f>
        <v>546000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546000</v>
      </c>
    </row>
    <row r="163" spans="1:7" x14ac:dyDescent="0.2">
      <c r="A163" s="22" t="s">
        <v>246</v>
      </c>
      <c r="B163" s="137">
        <f>'DOE25'!F502</f>
        <v>2146000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2146000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Timberlane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13543</v>
      </c>
    </row>
    <row r="5" spans="1:4" x14ac:dyDescent="0.2">
      <c r="B5" t="s">
        <v>704</v>
      </c>
      <c r="C5" s="179">
        <f>IF('DOE25'!G664+'DOE25'!G669=0,0,ROUND('DOE25'!G671,0))</f>
        <v>13752</v>
      </c>
    </row>
    <row r="6" spans="1:4" x14ac:dyDescent="0.2">
      <c r="B6" t="s">
        <v>62</v>
      </c>
      <c r="C6" s="179">
        <f>IF('DOE25'!H664+'DOE25'!H669=0,0,ROUND('DOE25'!H671,0))</f>
        <v>12793</v>
      </c>
    </row>
    <row r="7" spans="1:4" x14ac:dyDescent="0.2">
      <c r="B7" t="s">
        <v>705</v>
      </c>
      <c r="C7" s="179">
        <f>IF('DOE25'!I664+'DOE25'!I669=0,0,ROUND('DOE25'!I671,0))</f>
        <v>13329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25717296</v>
      </c>
      <c r="D10" s="182">
        <f>ROUND((C10/$C$28)*100,1)</f>
        <v>44.6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11364097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76039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1201695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4319232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1293548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2282882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3389361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57754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3897828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2581727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268728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ROUND('DOE25'!L260+'DOE25'!L341,0)</f>
        <v>630000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628828.73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57709015.729999997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590465</v>
      </c>
    </row>
    <row r="30" spans="1:4" x14ac:dyDescent="0.2">
      <c r="B30" s="187" t="s">
        <v>729</v>
      </c>
      <c r="C30" s="180">
        <f>SUM(C28:C29)</f>
        <v>58299480.729999997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37383205</v>
      </c>
      <c r="D35" s="182">
        <f t="shared" ref="D35:D40" si="1">ROUND((C35/$C$41)*100,1)</f>
        <v>62.1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947818.33999999613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17865342</v>
      </c>
      <c r="D37" s="182">
        <f t="shared" si="1"/>
        <v>29.7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1668757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2337270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60202392.339999996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Timberlane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2013-09-23T11:55:50Z</cp:lastPrinted>
  <dcterms:created xsi:type="dcterms:W3CDTF">1997-12-04T19:04:30Z</dcterms:created>
  <dcterms:modified xsi:type="dcterms:W3CDTF">2013-12-05T19:00:30Z</dcterms:modified>
</cp:coreProperties>
</file>