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F472" i="1" l="1"/>
  <c r="H522" i="1"/>
  <c r="H520" i="1"/>
  <c r="H526" i="1"/>
  <c r="H525" i="1"/>
  <c r="H215" i="1"/>
  <c r="H197" i="1"/>
  <c r="I26" i="1" l="1"/>
  <c r="F49" i="1"/>
  <c r="F48" i="1"/>
  <c r="F22" i="1"/>
  <c r="F9" i="1"/>
  <c r="C19" i="12" l="1"/>
  <c r="B19" i="12"/>
  <c r="C10" i="12"/>
  <c r="B10" i="12"/>
  <c r="F47" i="1" l="1"/>
  <c r="F12" i="1"/>
  <c r="F31" i="1"/>
  <c r="H603" i="1" l="1"/>
  <c r="F56" i="1"/>
  <c r="H207" i="1" l="1"/>
  <c r="H591" i="1"/>
  <c r="I471" i="1"/>
  <c r="G204" i="1"/>
  <c r="H196" i="1"/>
  <c r="F196" i="1"/>
  <c r="H467" i="1"/>
  <c r="H471" i="1"/>
  <c r="F313" i="1" l="1"/>
  <c r="G313" i="1"/>
  <c r="K322" i="1"/>
  <c r="I318" i="1"/>
  <c r="H318" i="1"/>
  <c r="G318" i="1"/>
  <c r="G314" i="1"/>
  <c r="I313" i="1"/>
  <c r="H313" i="1"/>
  <c r="H379" i="1"/>
  <c r="H154" i="1"/>
  <c r="H153" i="1"/>
  <c r="F520" i="1" l="1"/>
  <c r="G520" i="1"/>
  <c r="I520" i="1"/>
  <c r="I206" i="1"/>
  <c r="H206" i="1"/>
  <c r="G206" i="1"/>
  <c r="F206" i="1"/>
  <c r="J204" i="1"/>
  <c r="H204" i="1"/>
  <c r="F204" i="1"/>
  <c r="G203" i="1"/>
  <c r="H202" i="1"/>
  <c r="G202" i="1"/>
  <c r="F202" i="1"/>
  <c r="G201" i="1"/>
  <c r="F201" i="1"/>
  <c r="G199" i="1"/>
  <c r="G197" i="1"/>
  <c r="F197" i="1"/>
  <c r="I197" i="1"/>
  <c r="I1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28" i="1" s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E108" i="2" s="1"/>
  <c r="L314" i="1"/>
  <c r="L315" i="1"/>
  <c r="L316" i="1"/>
  <c r="L318" i="1"/>
  <c r="E117" i="2" s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131" i="2" s="1"/>
  <c r="L340" i="1"/>
  <c r="L341" i="1"/>
  <c r="L254" i="1"/>
  <c r="L335" i="1"/>
  <c r="C11" i="13"/>
  <c r="C10" i="13"/>
  <c r="C9" i="13"/>
  <c r="L360" i="1"/>
  <c r="L361" i="1" s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6" i="10"/>
  <c r="C19" i="10"/>
  <c r="C21" i="10"/>
  <c r="L249" i="1"/>
  <c r="L331" i="1"/>
  <c r="C23" i="10" s="1"/>
  <c r="L253" i="1"/>
  <c r="L267" i="1"/>
  <c r="L268" i="1"/>
  <c r="L348" i="1"/>
  <c r="L349" i="1"/>
  <c r="I664" i="1"/>
  <c r="I669" i="1"/>
  <c r="F660" i="1"/>
  <c r="G660" i="1"/>
  <c r="H660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D55" i="2"/>
  <c r="E55" i="2"/>
  <c r="F55" i="2"/>
  <c r="C56" i="2"/>
  <c r="E56" i="2"/>
  <c r="C57" i="2"/>
  <c r="E57" i="2"/>
  <c r="C58" i="2"/>
  <c r="C61" i="2" s="1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8" i="2"/>
  <c r="E118" i="2"/>
  <c r="E119" i="2"/>
  <c r="E120" i="2"/>
  <c r="C121" i="2"/>
  <c r="E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G619" i="1" s="1"/>
  <c r="F32" i="1"/>
  <c r="G32" i="1"/>
  <c r="H32" i="1"/>
  <c r="I32" i="1"/>
  <c r="G50" i="1"/>
  <c r="G51" i="1" s="1"/>
  <c r="H617" i="1" s="1"/>
  <c r="H50" i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F337" i="1" s="1"/>
  <c r="F351" i="1" s="1"/>
  <c r="G327" i="1"/>
  <c r="G337" i="1" s="1"/>
  <c r="G351" i="1" s="1"/>
  <c r="H327" i="1"/>
  <c r="I327" i="1"/>
  <c r="F336" i="1"/>
  <c r="G336" i="1"/>
  <c r="L336" i="1" s="1"/>
  <c r="H336" i="1"/>
  <c r="I336" i="1"/>
  <c r="J336" i="1"/>
  <c r="J337" i="1" s="1"/>
  <c r="J351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G469" i="1"/>
  <c r="H469" i="1"/>
  <c r="H475" i="1" s="1"/>
  <c r="H623" i="1" s="1"/>
  <c r="J623" i="1" s="1"/>
  <c r="J469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J544" i="1" s="1"/>
  <c r="K523" i="1"/>
  <c r="F528" i="1"/>
  <c r="G528" i="1"/>
  <c r="H528" i="1"/>
  <c r="I528" i="1"/>
  <c r="J528" i="1"/>
  <c r="K528" i="1"/>
  <c r="F533" i="1"/>
  <c r="G533" i="1"/>
  <c r="G544" i="1" s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22" i="1"/>
  <c r="G623" i="1"/>
  <c r="H627" i="1"/>
  <c r="H628" i="1"/>
  <c r="H630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9" i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C26" i="10"/>
  <c r="L327" i="1"/>
  <c r="L350" i="1"/>
  <c r="L289" i="1"/>
  <c r="A31" i="12"/>
  <c r="G161" i="2"/>
  <c r="D61" i="2"/>
  <c r="D62" i="2" s="1"/>
  <c r="E49" i="2"/>
  <c r="D18" i="13"/>
  <c r="C18" i="13" s="1"/>
  <c r="D7" i="13"/>
  <c r="C7" i="13" s="1"/>
  <c r="D18" i="2"/>
  <c r="D17" i="13"/>
  <c r="C17" i="13" s="1"/>
  <c r="E8" i="13"/>
  <c r="C8" i="13" s="1"/>
  <c r="G80" i="2"/>
  <c r="F77" i="2"/>
  <c r="F80" i="2" s="1"/>
  <c r="F61" i="2"/>
  <c r="F62" i="2" s="1"/>
  <c r="D31" i="2"/>
  <c r="D49" i="2"/>
  <c r="G156" i="2"/>
  <c r="G162" i="2"/>
  <c r="G157" i="2"/>
  <c r="G155" i="2"/>
  <c r="E143" i="2"/>
  <c r="G102" i="2"/>
  <c r="E102" i="2"/>
  <c r="C102" i="2"/>
  <c r="D90" i="2"/>
  <c r="F90" i="2"/>
  <c r="E61" i="2"/>
  <c r="E62" i="2" s="1"/>
  <c r="E31" i="2"/>
  <c r="E50" i="2" s="1"/>
  <c r="G61" i="2"/>
  <c r="D29" i="13"/>
  <c r="C29" i="13" s="1"/>
  <c r="D19" i="13"/>
  <c r="C19" i="13" s="1"/>
  <c r="E13" i="13"/>
  <c r="C13" i="13" s="1"/>
  <c r="E77" i="2"/>
  <c r="E80" i="2" s="1"/>
  <c r="L426" i="1"/>
  <c r="H111" i="1"/>
  <c r="J640" i="1"/>
  <c r="J638" i="1"/>
  <c r="K604" i="1"/>
  <c r="G647" i="1" s="1"/>
  <c r="J570" i="1"/>
  <c r="K570" i="1"/>
  <c r="L432" i="1"/>
  <c r="L418" i="1"/>
  <c r="D80" i="2"/>
  <c r="I168" i="1"/>
  <c r="H168" i="1"/>
  <c r="J643" i="1"/>
  <c r="J642" i="1"/>
  <c r="J475" i="1"/>
  <c r="H625" i="1" s="1"/>
  <c r="G475" i="1"/>
  <c r="H622" i="1" s="1"/>
  <c r="J622" i="1" s="1"/>
  <c r="F168" i="1"/>
  <c r="J139" i="1"/>
  <c r="F570" i="1"/>
  <c r="I551" i="1"/>
  <c r="K549" i="1"/>
  <c r="G22" i="2"/>
  <c r="K544" i="1"/>
  <c r="H551" i="1"/>
  <c r="I660" i="1"/>
  <c r="H139" i="1"/>
  <c r="L400" i="1"/>
  <c r="C138" i="2" s="1"/>
  <c r="L392" i="1"/>
  <c r="F22" i="13"/>
  <c r="J639" i="1"/>
  <c r="J633" i="1"/>
  <c r="H570" i="1"/>
  <c r="L559" i="1"/>
  <c r="H337" i="1"/>
  <c r="H351" i="1" s="1"/>
  <c r="G191" i="1"/>
  <c r="H191" i="1"/>
  <c r="L308" i="1"/>
  <c r="E16" i="13"/>
  <c r="J654" i="1"/>
  <c r="J644" i="1"/>
  <c r="L569" i="1"/>
  <c r="I570" i="1"/>
  <c r="G36" i="2"/>
  <c r="L564" i="1"/>
  <c r="K550" i="1"/>
  <c r="C22" i="13"/>
  <c r="C137" i="2"/>
  <c r="C16" i="13"/>
  <c r="L543" i="1" l="1"/>
  <c r="C18" i="10"/>
  <c r="G256" i="1"/>
  <c r="G270" i="1" s="1"/>
  <c r="F256" i="1"/>
  <c r="F270" i="1" s="1"/>
  <c r="C17" i="10"/>
  <c r="K548" i="1"/>
  <c r="K551" i="1" s="1"/>
  <c r="L523" i="1"/>
  <c r="G551" i="1"/>
  <c r="H544" i="1"/>
  <c r="F49" i="2"/>
  <c r="I51" i="1"/>
  <c r="H619" i="1" s="1"/>
  <c r="J619" i="1" s="1"/>
  <c r="F31" i="2"/>
  <c r="F18" i="2"/>
  <c r="C77" i="2"/>
  <c r="H51" i="1"/>
  <c r="H618" i="1" s="1"/>
  <c r="J618" i="1" s="1"/>
  <c r="A13" i="12"/>
  <c r="G616" i="1"/>
  <c r="C35" i="10"/>
  <c r="F111" i="1"/>
  <c r="L246" i="1"/>
  <c r="H659" i="1" s="1"/>
  <c r="H663" i="1" s="1"/>
  <c r="H666" i="1" s="1"/>
  <c r="G650" i="1"/>
  <c r="J650" i="1" s="1"/>
  <c r="C123" i="2"/>
  <c r="F661" i="1"/>
  <c r="I661" i="1" s="1"/>
  <c r="G648" i="1"/>
  <c r="J648" i="1" s="1"/>
  <c r="K597" i="1"/>
  <c r="G646" i="1" s="1"/>
  <c r="C109" i="2"/>
  <c r="H256" i="1"/>
  <c r="H270" i="1" s="1"/>
  <c r="D5" i="13"/>
  <c r="C5" i="13" s="1"/>
  <c r="C18" i="2"/>
  <c r="F102" i="2"/>
  <c r="F103" i="2" s="1"/>
  <c r="C10" i="10"/>
  <c r="E127" i="2"/>
  <c r="K337" i="1"/>
  <c r="K351" i="1" s="1"/>
  <c r="E114" i="2"/>
  <c r="C29" i="10"/>
  <c r="L381" i="1"/>
  <c r="G635" i="1" s="1"/>
  <c r="J635" i="1" s="1"/>
  <c r="C31" i="2"/>
  <c r="L528" i="1"/>
  <c r="K499" i="1"/>
  <c r="C25" i="10"/>
  <c r="H25" i="13"/>
  <c r="D15" i="13"/>
  <c r="C15" i="13" s="1"/>
  <c r="H646" i="1"/>
  <c r="J646" i="1" s="1"/>
  <c r="D14" i="13"/>
  <c r="C14" i="13" s="1"/>
  <c r="C20" i="10"/>
  <c r="D12" i="13"/>
  <c r="C12" i="13" s="1"/>
  <c r="C120" i="2"/>
  <c r="C119" i="2"/>
  <c r="E33" i="13"/>
  <c r="D35" i="13" s="1"/>
  <c r="C15" i="10"/>
  <c r="D6" i="13"/>
  <c r="C6" i="13" s="1"/>
  <c r="C108" i="2"/>
  <c r="L210" i="1"/>
  <c r="C62" i="2"/>
  <c r="C80" i="2"/>
  <c r="C103" i="2" s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F192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D102" i="2"/>
  <c r="D103" i="2" s="1"/>
  <c r="I139" i="1"/>
  <c r="A22" i="12"/>
  <c r="H645" i="1"/>
  <c r="G49" i="2"/>
  <c r="G50" i="2" s="1"/>
  <c r="H647" i="1"/>
  <c r="J647" i="1" s="1"/>
  <c r="J651" i="1"/>
  <c r="J641" i="1"/>
  <c r="G570" i="1"/>
  <c r="I433" i="1"/>
  <c r="G433" i="1"/>
  <c r="I662" i="1"/>
  <c r="C27" i="10"/>
  <c r="G634" i="1"/>
  <c r="J634" i="1" s="1"/>
  <c r="L544" i="1" l="1"/>
  <c r="F50" i="2"/>
  <c r="F50" i="1"/>
  <c r="C48" i="2"/>
  <c r="C49" i="2" s="1"/>
  <c r="C50" i="2" s="1"/>
  <c r="G626" i="1"/>
  <c r="F467" i="1"/>
  <c r="C114" i="2"/>
  <c r="H671" i="1"/>
  <c r="C6" i="10" s="1"/>
  <c r="L256" i="1"/>
  <c r="L270" i="1" s="1"/>
  <c r="I192" i="1"/>
  <c r="E144" i="2"/>
  <c r="C25" i="13"/>
  <c r="H33" i="13"/>
  <c r="C28" i="10"/>
  <c r="D23" i="10" s="1"/>
  <c r="C127" i="2"/>
  <c r="F659" i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G629" i="1" l="1"/>
  <c r="I467" i="1"/>
  <c r="G621" i="1"/>
  <c r="F51" i="1"/>
  <c r="H616" i="1" s="1"/>
  <c r="J616" i="1" s="1"/>
  <c r="F469" i="1"/>
  <c r="H626" i="1"/>
  <c r="J626" i="1" s="1"/>
  <c r="G631" i="1"/>
  <c r="F471" i="1"/>
  <c r="F473" i="1" s="1"/>
  <c r="C144" i="2"/>
  <c r="D11" i="10"/>
  <c r="D17" i="10"/>
  <c r="D20" i="10"/>
  <c r="D12" i="10"/>
  <c r="D13" i="10"/>
  <c r="D19" i="10"/>
  <c r="D18" i="10"/>
  <c r="D25" i="10"/>
  <c r="D22" i="10"/>
  <c r="D27" i="10"/>
  <c r="D15" i="10"/>
  <c r="D21" i="10"/>
  <c r="D24" i="10"/>
  <c r="D10" i="10"/>
  <c r="D26" i="10"/>
  <c r="C30" i="10"/>
  <c r="D16" i="10"/>
  <c r="F663" i="1"/>
  <c r="I659" i="1"/>
  <c r="I663" i="1" s="1"/>
  <c r="I671" i="1" s="1"/>
  <c r="C7" i="10" s="1"/>
  <c r="C41" i="10"/>
  <c r="D38" i="10" s="1"/>
  <c r="H631" i="1" l="1"/>
  <c r="J631" i="1" s="1"/>
  <c r="H629" i="1"/>
  <c r="I469" i="1"/>
  <c r="I475" i="1" s="1"/>
  <c r="H624" i="1" s="1"/>
  <c r="J624" i="1" s="1"/>
  <c r="J629" i="1"/>
  <c r="F475" i="1"/>
  <c r="H621" i="1" s="1"/>
  <c r="J621" i="1" s="1"/>
  <c r="D28" i="10"/>
  <c r="F671" i="1"/>
  <c r="C4" i="10" s="1"/>
  <c r="F666" i="1"/>
  <c r="I666" i="1"/>
  <c r="D37" i="10"/>
  <c r="D36" i="10"/>
  <c r="D35" i="10"/>
  <c r="D40" i="10"/>
  <c r="D39" i="10"/>
  <c r="H655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<sst xmlns="http://schemas.openxmlformats.org/spreadsheetml/2006/main" count="3946" uniqueCount="912">
  <si>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</si>
  <si>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</si>
  <si>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</si>
  <si>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</si>
  <si>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</si>
  <si>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</si>
  <si>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</si>
  <si>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</si>
  <si>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</si>
  <si>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</si>
  <si>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</si>
  <si>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</si>
  <si>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</si>
  <si>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</si>
  <si>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</si>
  <si>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</si>
  <si>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</si>
  <si>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</si>
  <si>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</si>
  <si>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</si>
  <si>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</si>
  <si>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</si>
  <si>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</si>
  <si>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</si>
  <si>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</si>
  <si>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</si>
  <si>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</si>
  <si>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</si>
  <si>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</si>
  <si>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</si>
  <si>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</si>
  <si>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</si>
  <si>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</si>
  <si>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</si>
  <si>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</si>
  <si>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</si>
  <si>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</si>
  <si>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</si>
  <si>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</si>
  <si>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</si>
  <si>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</si>
  <si>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</si>
  <si>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</si>
  <si>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</si>
  <si>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</si>
  <si>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</si>
  <si>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</si>
  <si>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</si>
  <si>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</si>
  <si>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</si>
  <si>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</si>
  <si>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</si>
  <si>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</si>
  <si>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</si>
  <si>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</si>
  <si>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</si>
  <si>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</si>
  <si>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</si>
  <si>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</si>
  <si>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</si>
  <si>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</si>
  <si>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</si>
  <si>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</si>
  <si>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</si>
  <si>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</si>
  <si>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</si>
  <si>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</si>
  <si>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</si>
  <si>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</si>
  <si>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</si>
  <si>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</si>
  <si>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</si>
  <si>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</si>
  <si>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</si>
  <si>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</si>
  <si>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</si>
  <si>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</si>
  <si>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</si>
  <si>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</si>
  <si>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</si>
  <si>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</si>
  <si>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</si>
  <si>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</si>
  <si>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</si>
  <si>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</si>
  <si>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</si>
  <si>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</si>
  <si>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</si>
  <si>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</si>
  <si>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</si>
  <si>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</si>
  <si>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</si>
  <si>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</si>
  <si>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</si>
  <si>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</si>
  <si>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</si>
  <si>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</si>
  <si>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</si>
  <si>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</si>
  <si>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</si>
  <si>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</si>
  <si>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</si>
  <si>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</si>
  <si>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</si>
  <si>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</si>
  <si>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</si>
  <si>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</si>
  <si>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</si>
  <si>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</si>
  <si>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</si>
  <si>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</si>
  <si>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</si>
  <si>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</si>
  <si>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</si>
  <si>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</si>
  <si>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</si>
  <si>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</si>
  <si>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</si>
  <si>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</si>
  <si>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</si>
  <si>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</si>
  <si>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</si>
  <si>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</si>
  <si>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</si>
  <si>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</si>
  <si>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</si>
  <si>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</si>
  <si>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</si>
  <si>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</si>
  <si>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</si>
  <si>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</si>
  <si>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</si>
  <si>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</si>
  <si>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</si>
  <si>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</si>
  <si>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</si>
  <si>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</si>
  <si>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</si>
  <si>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</si>
  <si>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</si>
  <si>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</si>
  <si>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</si>
  <si>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</si>
  <si>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</si>
  <si>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</si>
  <si>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</si>
  <si>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</si>
  <si>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</si>
  <si>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</si>
  <si>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</si>
  <si>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</si>
  <si>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</si>
  <si>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</si>
  <si>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</si>
  <si>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</si>
  <si>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</si>
  <si>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</si>
  <si>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</si>
  <si>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</si>
  <si>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</si>
  <si>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</si>
  <si>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</si>
  <si>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</si>
  <si>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</si>
  <si>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</si>
  <si>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</si>
  <si>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</si>
  <si>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</si>
  <si>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</si>
  <si>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</si>
  <si>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</si>
  <si>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</si>
  <si>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</si>
  <si>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</si>
  <si>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</si>
  <si>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</si>
  <si>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</si>
  <si>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</si>
  <si>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</si>
  <si>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</si>
  <si>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</si>
  <si>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</si>
  <si>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</si>
  <si>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</si>
  <si>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</si>
  <si>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</si>
  <si>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</si>
  <si>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</si>
  <si>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</si>
  <si>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</si>
  <si>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</si>
  <si>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</si>
  <si>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</si>
  <si>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</si>
  <si>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</si>
  <si>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</si>
  <si>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</si>
  <si>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</si>
  <si>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</si>
  <si>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</si>
  <si>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</si>
  <si>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</si>
  <si>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</si>
  <si>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</si>
  <si>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</si>
  <si>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</si>
  <si>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</si>
  <si>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</si>
  <si>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</si>
  <si>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</si>
  <si>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</si>
  <si>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</si>
  <si>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</si>
  <si>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</si>
  <si>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</si>
  <si>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</si>
  <si>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</si>
  <si>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</si>
  <si>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</si>
  <si>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</si>
  <si>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</si>
  <si>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</si>
  <si>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</si>
  <si>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</si>
  <si>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</si>
  <si>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</si>
  <si>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</si>
  <si>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</si>
  <si>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</si>
  <si>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</si>
  <si>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</si>
  <si>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</si>
  <si>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</si>
  <si>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</si>
  <si>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</si>
  <si>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</si>
  <si>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</si>
  <si>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</si>
  <si>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</si>
  <si>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</si>
  <si>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</si>
  <si>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</si>
  <si>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</si>
  <si>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</si>
  <si>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</si>
  <si>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</si>
  <si>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</si>
  <si>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</si>
  <si>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</si>
  <si>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</si>
  <si>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</si>
  <si>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</si>
  <si>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</si>
  <si>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</si>
  <si>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</si>
  <si>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</si>
  <si>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</si>
  <si>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</si>
  <si>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</si>
  <si>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</si>
  <si>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</si>
  <si>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</si>
  <si>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</si>
  <si>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</si>
  <si>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</si>
  <si>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</si>
  <si>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</si>
  <si>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</si>
  <si>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</si>
  <si>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</si>
  <si>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</si>
  <si>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</si>
  <si>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</si>
  <si>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</si>
  <si>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</si>
  <si>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</si>
  <si>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</si>
  <si>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</si>
  <si>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</si>
  <si>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</si>
  <si>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</si>
  <si>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</si>
  <si>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</si>
  <si>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</si>
  <si>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</si>
  <si>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</si>
  <si>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</si>
  <si>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</si>
  <si>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</si>
  <si>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</si>
  <si>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</si>
  <si>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</si>
  <si>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</si>
  <si>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</si>
  <si>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</si>
  <si>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</si>
  <si>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</si>
  <si>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</si>
  <si>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</si>
  <si>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</si>
  <si>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</si>
  <si>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</si>
  <si>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</si>
  <si>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</si>
  <si>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</si>
  <si>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</si>
  <si>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</si>
  <si>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</si>
  <si>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</si>
  <si>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</si>
  <si>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</si>
  <si>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</si>
  <si>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</si>
  <si>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</si>
  <si>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</si>
  <si>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</si>
  <si>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</si>
  <si>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</si>
  <si>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</si>
  <si>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</si>
  <si>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</si>
  <si>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</si>
  <si>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</si>
  <si>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</si>
  <si>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</si>
  <si>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</si>
  <si>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</si>
  <si>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</si>
  <si>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</si>
  <si>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</si>
  <si>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</si>
  <si>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</si>
  <si>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</si>
  <si>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</si>
  <si>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</si>
  <si>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</si>
  <si>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</si>
  <si>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</si>
  <si>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</si>
  <si>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</si>
  <si>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</si>
  <si>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</si>
  <si>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</si>
  <si>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</si>
  <si>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</si>
  <si>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</si>
  <si>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</si>
  <si>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</si>
  <si>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</si>
  <si>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</si>
  <si>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</si>
  <si>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</si>
  <si>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</si>
  <si>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</si>
  <si>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</si>
  <si>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</si>
  <si>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</si>
  <si>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</si>
  <si>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</si>
  <si>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</si>
  <si>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</si>
  <si>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</si>
  <si>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</si>
  <si>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</si>
  <si>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</si>
  <si>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</si>
  <si>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</si>
  <si>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</si>
  <si>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</si>
  <si>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</si>
  <si>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</si>
  <si>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</si>
  <si>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</si>
  <si>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</si>
  <si>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</si>
  <si>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</si>
  <si>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</si>
  <si>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</si>
  <si>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</si>
  <si>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</si>
  <si>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</si>
  <si>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</si>
  <si>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</si>
  <si>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</si>
  <si>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</si>
  <si>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</si>
  <si>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</si>
  <si>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</si>
  <si>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</si>
  <si>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</si>
  <si>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</si>
  <si>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</si>
  <si>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</si>
  <si>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</si>
  <si>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</si>
  <si>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</si>
  <si>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</si>
  <si>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</si>
  <si>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</si>
  <si>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</si>
  <si>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</si>
  <si>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</si>
  <si>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</si>
  <si>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</si>
  <si>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</si>
  <si>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</si>
  <si>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</si>
  <si>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</si>
  <si>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</si>
  <si>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</si>
  <si>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</si>
  <si>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</si>
  <si>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</si>
  <si>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</si>
  <si>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</si>
  <si>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</si>
  <si>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</si>
  <si>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</si>
  <si>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</si>
  <si>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</si>
  <si>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</si>
  <si>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</si>
  <si>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</si>
  <si>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</si>
  <si>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</si>
  <si>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</si>
  <si>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</si>
  <si>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</si>
  <si>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</si>
  <si>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</si>
  <si>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</si>
  <si>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</si>
  <si>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</si>
  <si>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</si>
  <si>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</si>
  <si>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</si>
  <si>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</si>
  <si>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</si>
  <si>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</si>
  <si>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</si>
  <si>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</si>
  <si>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</si>
  <si>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</si>
  <si>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</si>
  <si>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</si>
  <si>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</si>
  <si>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</si>
  <si>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</si>
  <si>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</si>
  <si>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</si>
  <si>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</si>
  <si>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</si>
  <si>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</si>
  <si>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</si>
  <si>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</si>
  <si>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</si>
  <si>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</si>
  <si>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</si>
  <si>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</si>
  <si>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</si>
  <si>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</si>
  <si>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</si>
  <si>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</si>
  <si>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</si>
  <si>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</si>
  <si>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</si>
  <si>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</si>
  <si>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</si>
  <si>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</si>
  <si>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</si>
  <si>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</si>
  <si>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</si>
  <si>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</si>
  <si>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</si>
  <si>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</si>
  <si>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</si>
  <si>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</si>
  <si>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</si>
  <si>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</si>
  <si>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</si>
  <si>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</si>
  <si>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</si>
  <si>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</si>
  <si>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</si>
  <si>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</si>
  <si>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</si>
  <si>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</si>
  <si>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</si>
  <si>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</si>
  <si>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</si>
  <si>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</si>
  <si>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</si>
  <si>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</si>
  <si>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</si>
  <si>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</si>
  <si>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</si>
  <si>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</si>
  <si>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</si>
  <si>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</si>
  <si>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</si>
  <si>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</si>
  <si>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</si>
  <si>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</si>
  <si>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</si>
  <si>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</si>
  <si>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</si>
  <si>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</si>
  <si>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</si>
  <si>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</si>
  <si>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</si>
  <si>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</si>
  <si>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</si>
  <si>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</si>
  <si>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</si>
  <si>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</si>
  <si>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</si>
  <si>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</si>
  <si>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</si>
  <si>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</si>
  <si>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</si>
  <si>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</si>
  <si>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</si>
  <si>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</si>
  <si>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</si>
  <si>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</si>
  <si>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</si>
  <si>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</si>
  <si>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</si>
  <si>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</si>
  <si>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</si>
  <si>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</si>
  <si>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</si>
  <si>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</si>
  <si>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</si>
  <si>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</si>
  <si>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</si>
  <si>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</si>
  <si>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</si>
  <si>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</si>
  <si>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</si>
  <si>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</si>
  <si>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</si>
  <si>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</si>
  <si>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</si>
  <si>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</si>
  <si>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</si>
  <si>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</si>
  <si>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</si>
  <si>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</si>
  <si>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</si>
  <si>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</si>
  <si>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</si>
  <si>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</si>
  <si>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</si>
  <si>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</si>
  <si>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</si>
  <si>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</si>
  <si>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</si>
  <si>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</si>
  <si>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</si>
  <si>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</si>
  <si>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</si>
  <si>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</si>
  <si>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</si>
  <si>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</si>
  <si>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</si>
  <si>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</si>
  <si>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</si>
  <si>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</si>
  <si>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</si>
  <si>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</si>
  <si>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</si>
  <si>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</si>
  <si>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</si>
  <si>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</si>
  <si>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</si>
  <si>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</si>
  <si>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</si>
  <si>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</si>
  <si>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</si>
  <si>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</si>
  <si>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</si>
  <si>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</si>
  <si>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</si>
  <si>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</si>
  <si>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</si>
  <si>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</si>
  <si>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</si>
  <si>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</si>
  <si>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</si>
  <si>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</si>
  <si>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</si>
  <si>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</si>
  <si>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</si>
  <si>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</si>
  <si>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</si>
  <si>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</si>
  <si>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</si>
  <si>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</si>
  <si>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</si>
  <si>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</si>
  <si>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</si>
  <si>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</si>
  <si>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</si>
  <si>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</si>
  <si>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</si>
  <si>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</si>
  <si>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</si>
  <si>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</si>
  <si>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</si>
  <si>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</si>
  <si>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</si>
  <si>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</si>
  <si>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</si>
  <si>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</si>
  <si>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</si>
  <si>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</si>
  <si>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</si>
  <si>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</si>
  <si>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</si>
  <si>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</si>
  <si>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</si>
  <si>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</si>
  <si>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</si>
  <si>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</si>
  <si>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</si>
  <si>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</si>
  <si>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</si>
  <si>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</si>
  <si>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</si>
  <si>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</si>
  <si>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</si>
  <si>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</si>
  <si>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</si>
  <si>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</si>
  <si>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</si>
  <si>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</si>
  <si>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</si>
  <si>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</si>
  <si>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</si>
  <si>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</si>
  <si>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</si>
  <si>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</si>
  <si>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</si>
  <si>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</si>
  <si>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</si>
  <si>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</si>
  <si>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</si>
  <si>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</si>
  <si>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</si>
  <si>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</si>
  <si>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</si>
  <si>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</si>
  <si>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</si>
  <si>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</si>
  <si>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</si>
  <si>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</si>
  <si>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</si>
  <si>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</si>
  <si>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</si>
  <si>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</si>
  <si>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</si>
  <si>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</si>
  <si>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</si>
  <si>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</si>
  <si>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</si>
  <si>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</si>
  <si>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</si>
  <si>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</si>
  <si>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</si>
  <si>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</si>
  <si>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</si>
  <si>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</si>
  <si>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</si>
  <si>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</si>
  <si>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</si>
  <si>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</si>
  <si>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</si>
  <si>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</si>
  <si>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</si>
  <si>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</si>
  <si>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</si>
  <si>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</si>
  <si>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</si>
  <si>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</si>
  <si>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</si>
  <si>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</si>
  <si>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</si>
  <si>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</si>
  <si>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</si>
  <si>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</si>
  <si>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</si>
  <si>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</si>
  <si>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</si>
  <si>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</si>
  <si>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</si>
  <si>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</si>
  <si>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</si>
  <si>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</si>
  <si>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</si>
  <si>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</si>
  <si>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</si>
  <si>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</si>
  <si>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</si>
  <si>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</si>
  <si>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</si>
  <si>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</si>
  <si>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</si>
  <si>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</si>
  <si>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</si>
  <si>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</si>
  <si>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</si>
  <si>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</si>
  <si>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</si>
  <si>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</si>
  <si>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</si>
  <si>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</si>
  <si>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</si>
  <si>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</si>
  <si>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</si>
  <si>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</si>
  <si>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</si>
  <si>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</si>
  <si>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</si>
  <si>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</si>
  <si>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</si>
  <si>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</si>
  <si>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</si>
  <si>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</si>
  <si>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</si>
  <si>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</si>
  <si>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</si>
  <si>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</si>
  <si>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</si>
  <si>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</si>
  <si>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</si>
  <si>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</si>
  <si>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</si>
  <si>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</si>
  <si>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</si>
  <si>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</si>
  <si>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</si>
  <si>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</si>
  <si>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</si>
  <si>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</si>
  <si>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</si>
  <si>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</si>
  <si>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</si>
  <si>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</si>
  <si>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</si>
  <si>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</si>
  <si>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</si>
  <si>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</si>
  <si>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</si>
  <si>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</si>
  <si>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</si>
  <si>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</si>
  <si>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</si>
  <si>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</si>
  <si>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</si>
  <si>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</si>
  <si>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</si>
  <si>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</si>
  <si>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</si>
  <si>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</si>
  <si>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</si>
  <si>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</si>
  <si>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</si>
  <si>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</si>
  <si>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</si>
  <si>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</si>
  <si>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</si>
  <si>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</si>
  <si>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</si>
  <si>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</si>
  <si>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</si>
  <si>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</si>
  <si>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</si>
  <si>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</si>
  <si>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</si>
  <si>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</si>
  <si>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</si>
  <si>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</si>
  <si>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</si>
  <si>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</si>
  <si>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</si>
  <si>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</si>
  <si>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</si>
  <si>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</si>
  <si>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</si>
  <si>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</si>
  <si>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</si>
  <si>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</si>
  <si>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</si>
  <si>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</si>
  <si>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</si>
  <si>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</si>
  <si>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</si>
  <si>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</si>
  <si>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</si>
  <si>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</si>
  <si>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</si>
  <si>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</si>
  <si>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</si>
  <si>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</si>
  <si>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</si>
  <si>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</si>
  <si>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</si>
  <si>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</si>
  <si>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</si>
  <si>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</si>
  <si>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</si>
  <si>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</si>
  <si>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</si>
  <si>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</si>
  <si>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</si>
  <si>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</si>
  <si>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</si>
  <si>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</si>
  <si>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</si>
  <si>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</si>
  <si>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</si>
  <si>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</si>
  <si>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</si>
  <si>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</si>
  <si>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</si>
  <si>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</si>
  <si>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</si>
  <si>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</si>
  <si>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</si>
  <si>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</si>
  <si>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</si>
  <si>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</si>
  <si>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</si>
  <si>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</si>
  <si>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</si>
  <si>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</si>
  <si>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</si>
  <si>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</si>
  <si>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</si>
  <si>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</si>
  <si>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</si>
  <si>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</si>
  <si>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</si>
  <si>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</si>
  <si>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</si>
  <si>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</si>
  <si>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</si>
  <si>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</si>
  <si>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</si>
  <si>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</si>
  <si>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</si>
  <si>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</si>
  <si>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</si>
  <si>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</si>
  <si>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</si>
  <si>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</si>
  <si>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</si>
  <si>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</si>
  <si>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</si>
  <si>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</si>
  <si>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</si>
  <si>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</si>
  <si>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</si>
  <si>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</si>
  <si>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</si>
  <si>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</si>
  <si>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</si>
  <si>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</si>
  <si>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</si>
  <si>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</si>
  <si>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</si>
  <si>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</si>
  <si>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</si>
  <si>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</si>
  <si>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</si>
  <si>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</si>
  <si>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</si>
  <si>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</si>
  <si>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</si>
  <si>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</si>
  <si>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</si>
  <si>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</si>
  <si>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</si>
  <si>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</si>
  <si>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</si>
  <si>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</si>
  <si>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</si>
  <si>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</si>
  <si>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</si>
  <si>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</si>
  <si>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</si>
  <si>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</si>
  <si>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</si>
  <si>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</si>
  <si>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</si>
  <si>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</si>
  <si>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</si>
  <si>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</si>
  <si>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</si>
  <si>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</si>
  <si>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</si>
  <si>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</si>
  <si>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</si>
  <si>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</si>
  <si>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</si>
  <si>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</si>
  <si>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</si>
  <si>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</si>
  <si>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Unity School District</t>
  </si>
  <si>
    <t>07/12</t>
  </si>
  <si>
    <t>08/32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</si>
</sst>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8" sqref="H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539</v>
      </c>
      <c r="C2" s="21">
        <v>539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-143163-200+20124</f>
        <v>-123239</v>
      </c>
      <c r="G9" s="18"/>
      <c r="H9" s="18"/>
      <c r="I9" s="18">
        <v>537456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19680+50920+1088</f>
        <v>71688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/>
      <c r="H13" s="18">
        <v>-3160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1413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-130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-50268</v>
      </c>
      <c r="G19" s="41">
        <f>SUM(G9:G18)</f>
        <v>0</v>
      </c>
      <c r="H19" s="41">
        <f>SUM(H9:H18)</f>
        <v>-3160</v>
      </c>
      <c r="I19" s="41">
        <f>SUM(I9:I18)</f>
        <v>537456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-466288+18320-1413</f>
        <v>-449381</v>
      </c>
      <c r="G22" s="18"/>
      <c r="H22" s="18"/>
      <c r="I22" s="18">
        <v>449381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-3160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28055</v>
      </c>
      <c r="G26" s="24" t="s">
        <v>289</v>
      </c>
      <c r="H26" s="24" t="s">
        <v>289</v>
      </c>
      <c r="I26" s="18">
        <f>4700000</f>
        <v>4700000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-652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204625+196+2101</f>
        <v>206922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-215056</v>
      </c>
      <c r="G32" s="41">
        <f>SUM(G22:G31)</f>
        <v>0</v>
      </c>
      <c r="H32" s="41">
        <f>SUM(H22:H31)</f>
        <v>-3160</v>
      </c>
      <c r="I32" s="41">
        <f>SUM(I22:I31)</f>
        <v>5149381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1413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9079+55078</f>
        <v>64157</v>
      </c>
      <c r="G47" s="18"/>
      <c r="H47" s="18"/>
      <c r="I47" s="18">
        <v>-5138477</v>
      </c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35177+18391</f>
        <v>53568</v>
      </c>
      <c r="G48" s="18"/>
      <c r="H48" s="18"/>
      <c r="I48" s="18">
        <v>526552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64041-18391</f>
        <v>45650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164788</v>
      </c>
      <c r="G50" s="41">
        <f>SUM(G35:G49)</f>
        <v>0</v>
      </c>
      <c r="H50" s="41">
        <f>SUM(H35:H49)</f>
        <v>0</v>
      </c>
      <c r="I50" s="41">
        <f>SUM(I35:I49)</f>
        <v>-4611925</v>
      </c>
      <c r="J50" s="41">
        <f>SUM(J35:J49)</f>
        <v>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-50268</v>
      </c>
      <c r="G51" s="41">
        <f>G50+G32</f>
        <v>0</v>
      </c>
      <c r="H51" s="41">
        <f>H50+H32</f>
        <v>-3160</v>
      </c>
      <c r="I51" s="41">
        <f>I50+I32</f>
        <v>537456</v>
      </c>
      <c r="J51" s="41">
        <f>J50+J32</f>
        <v>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1796998-F117</f>
        <v>1489475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1489475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5622.66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6601.6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12224.26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1501699.26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840904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307523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1148427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52875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52280</v>
      </c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133859.41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239014.41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1387441.41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3790+7695</f>
        <v>11485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1335+4459+210+10223+3089</f>
        <v>19316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40730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40730</v>
      </c>
      <c r="G161" s="41">
        <f>SUM(G149:G160)</f>
        <v>0</v>
      </c>
      <c r="H161" s="41">
        <f>SUM(H149:H160)</f>
        <v>30801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40730</v>
      </c>
      <c r="G168" s="41">
        <f>G146+G161+SUM(G162:G167)</f>
        <v>0</v>
      </c>
      <c r="H168" s="41">
        <f>H146+H161+SUM(H162:H167)</f>
        <v>30801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2200000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2200000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2200000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2929870.67</v>
      </c>
      <c r="G192" s="47">
        <f>G111+G139+G168+G191</f>
        <v>0</v>
      </c>
      <c r="H192" s="47">
        <f>H111+H139+H168+H191</f>
        <v>30801</v>
      </c>
      <c r="I192" s="47">
        <f>I111+I139+I168+I191</f>
        <v>2200000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342299+7998</f>
        <v>350297</v>
      </c>
      <c r="G196" s="18">
        <v>200700</v>
      </c>
      <c r="H196" s="18">
        <f>1216.25+3658.05+7529.7</f>
        <v>12404</v>
      </c>
      <c r="I196" s="18">
        <f>699.59+7727.33+4417.1+878.6+1733.17+348.6</f>
        <v>15804.390000000001</v>
      </c>
      <c r="J196" s="18">
        <v>23187.26</v>
      </c>
      <c r="K196" s="18"/>
      <c r="L196" s="19">
        <f>SUM(F196:K196)</f>
        <v>602392.65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37928.49+90455.62+4662.5</f>
        <v>133046.60999999999</v>
      </c>
      <c r="G197" s="18">
        <f>39343.58+3680.51+481.97+427+597+2023.72+8653.16+12357.46+66.87+285.87+433.46</f>
        <v>68350.599999999991</v>
      </c>
      <c r="H197" s="18">
        <f>18076.2+1680+3915.81+6186.58+197573.66+62300+530</f>
        <v>290262.25</v>
      </c>
      <c r="I197" s="18">
        <f>669.55+918.55</f>
        <v>1588.1</v>
      </c>
      <c r="J197" s="18">
        <v>452.76</v>
      </c>
      <c r="K197" s="18"/>
      <c r="L197" s="19">
        <f>SUM(F197:K197)</f>
        <v>493700.31999999995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1500</v>
      </c>
      <c r="G199" s="18">
        <f>20.77+88.81+2323.66</f>
        <v>2433.2399999999998</v>
      </c>
      <c r="H199" s="18"/>
      <c r="I199" s="18"/>
      <c r="J199" s="18"/>
      <c r="K199" s="18"/>
      <c r="L199" s="19">
        <f>SUM(F199:K199)</f>
        <v>3933.24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27945.76+396.04</f>
        <v>28341.8</v>
      </c>
      <c r="G201" s="18">
        <f>85+118+403.76+1726.14+6129.2+21+29+88.84+379.99+167.97</f>
        <v>9148.9</v>
      </c>
      <c r="H201" s="18"/>
      <c r="I201" s="18"/>
      <c r="J201" s="18"/>
      <c r="K201" s="18"/>
      <c r="L201" s="19">
        <f t="shared" ref="L201:L207" si="0">SUM(F201:K201)</f>
        <v>37490.699999999997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27746</f>
        <v>27746</v>
      </c>
      <c r="G202" s="18">
        <f>7201.27+189.06+91+128+335.84+1436.12</f>
        <v>9381.2900000000009</v>
      </c>
      <c r="H202" s="18">
        <f>1034.88+217.99+31.63</f>
        <v>1284.5000000000002</v>
      </c>
      <c r="I202" s="18"/>
      <c r="J202" s="18"/>
      <c r="K202" s="18"/>
      <c r="L202" s="19">
        <f t="shared" si="0"/>
        <v>38411.79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1500</v>
      </c>
      <c r="G203" s="18">
        <f>31.11+133.01+12461.17+6430.5+1123.55+1296.98+280</f>
        <v>21756.32</v>
      </c>
      <c r="H203" s="18">
        <v>120832</v>
      </c>
      <c r="I203" s="18">
        <v>1653.47</v>
      </c>
      <c r="J203" s="18">
        <v>2325.4</v>
      </c>
      <c r="K203" s="18"/>
      <c r="L203" s="19">
        <f t="shared" si="0"/>
        <v>148067.19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69915+24282.21</f>
        <v>94197.209999999992</v>
      </c>
      <c r="G204" s="18">
        <f>20841.84+407.66+253.61+313+437+1328.54+5680.39+10037.21</f>
        <v>39299.25</v>
      </c>
      <c r="H204" s="18">
        <f>336.48+349+90.8+30.25+612.35+2179.07</f>
        <v>3597.9500000000003</v>
      </c>
      <c r="I204" s="18">
        <v>2748.09</v>
      </c>
      <c r="J204" s="18">
        <f>967+2239+548.45</f>
        <v>3754.45</v>
      </c>
      <c r="K204" s="18"/>
      <c r="L204" s="19">
        <f t="shared" si="0"/>
        <v>143596.95000000001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21922.93</f>
        <v>21922.93</v>
      </c>
      <c r="G206" s="18">
        <f>6421.36+393.53+15.21+116+162+305.11+1304.62+1929.2</f>
        <v>10647.029999999999</v>
      </c>
      <c r="H206" s="18">
        <f>5051.39+450+3240.09+865.35+3285+10576.32</f>
        <v>23468.15</v>
      </c>
      <c r="I206" s="18">
        <f>4037.95+12821.65+9674.74</f>
        <v>26534.339999999997</v>
      </c>
      <c r="J206" s="18"/>
      <c r="K206" s="18"/>
      <c r="L206" s="19">
        <f t="shared" si="0"/>
        <v>82572.45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11344+92880+43658</f>
        <v>147882</v>
      </c>
      <c r="I207" s="18"/>
      <c r="J207" s="18"/>
      <c r="K207" s="18"/>
      <c r="L207" s="19">
        <f t="shared" si="0"/>
        <v>147882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658551.54999999993</v>
      </c>
      <c r="G210" s="41">
        <f t="shared" si="1"/>
        <v>361716.63</v>
      </c>
      <c r="H210" s="41">
        <f t="shared" si="1"/>
        <v>599730.85000000009</v>
      </c>
      <c r="I210" s="41">
        <f t="shared" si="1"/>
        <v>48328.39</v>
      </c>
      <c r="J210" s="41">
        <f t="shared" si="1"/>
        <v>29719.87</v>
      </c>
      <c r="K210" s="41">
        <f t="shared" si="1"/>
        <v>0</v>
      </c>
      <c r="L210" s="41">
        <f t="shared" si="1"/>
        <v>1698047.2899999998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2748</f>
        <v>2748</v>
      </c>
      <c r="I215" s="18"/>
      <c r="J215" s="18"/>
      <c r="K215" s="18"/>
      <c r="L215" s="19">
        <f>SUM(F215:K215)</f>
        <v>2748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2748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2748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902622</v>
      </c>
      <c r="I232" s="18"/>
      <c r="J232" s="18"/>
      <c r="K232" s="18"/>
      <c r="L232" s="19">
        <f>SUM(F232:K232)</f>
        <v>902622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283702</v>
      </c>
      <c r="I233" s="18"/>
      <c r="J233" s="18"/>
      <c r="K233" s="18"/>
      <c r="L233" s="19">
        <f>SUM(F233:K233)</f>
        <v>283702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8288</v>
      </c>
      <c r="I243" s="18"/>
      <c r="J243" s="18"/>
      <c r="K243" s="18"/>
      <c r="L243" s="19">
        <f t="shared" si="4"/>
        <v>8288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1194612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1194612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658551.54999999993</v>
      </c>
      <c r="G256" s="41">
        <f t="shared" si="8"/>
        <v>361716.63</v>
      </c>
      <c r="H256" s="41">
        <f t="shared" si="8"/>
        <v>1797090.85</v>
      </c>
      <c r="I256" s="41">
        <f t="shared" si="8"/>
        <v>48328.39</v>
      </c>
      <c r="J256" s="41">
        <f t="shared" si="8"/>
        <v>29719.87</v>
      </c>
      <c r="K256" s="41">
        <f t="shared" si="8"/>
        <v>0</v>
      </c>
      <c r="L256" s="41">
        <f t="shared" si="8"/>
        <v>2895407.29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20829.03</v>
      </c>
      <c r="L259" s="19">
        <f>SUM(F259:K259)</f>
        <v>20829.03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91338.26</v>
      </c>
      <c r="L260" s="19">
        <f>SUM(F260:K260)</f>
        <v>91338.26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112167.29</v>
      </c>
      <c r="L269" s="41">
        <f t="shared" si="9"/>
        <v>112167.29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658551.54999999993</v>
      </c>
      <c r="G270" s="42">
        <f t="shared" si="11"/>
        <v>361716.63</v>
      </c>
      <c r="H270" s="42">
        <f t="shared" si="11"/>
        <v>1797090.85</v>
      </c>
      <c r="I270" s="42">
        <f t="shared" si="11"/>
        <v>48328.39</v>
      </c>
      <c r="J270" s="42">
        <f t="shared" si="11"/>
        <v>29719.87</v>
      </c>
      <c r="K270" s="42">
        <f t="shared" si="11"/>
        <v>112167.29</v>
      </c>
      <c r="L270" s="42">
        <f t="shared" si="11"/>
        <v>3007574.58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1900+4690-88</f>
        <v>6502</v>
      </c>
      <c r="G313" s="18">
        <f>-1+28+57+-5+118+271+215+460</f>
        <v>1143</v>
      </c>
      <c r="H313" s="18">
        <f>-401+148</f>
        <v>-253</v>
      </c>
      <c r="I313" s="18">
        <f>4113+105</f>
        <v>4218</v>
      </c>
      <c r="J313" s="18"/>
      <c r="K313" s="18"/>
      <c r="L313" s="19">
        <f>SUM(F313:K313)</f>
        <v>11610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13317</v>
      </c>
      <c r="G314" s="18">
        <f>3100+80+161+690</f>
        <v>4031</v>
      </c>
      <c r="H314" s="18">
        <v>748</v>
      </c>
      <c r="I314" s="18"/>
      <c r="J314" s="18"/>
      <c r="K314" s="18"/>
      <c r="L314" s="19">
        <f>SUM(F314:K314)</f>
        <v>18096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900</v>
      </c>
      <c r="G318" s="18">
        <f>13+56+-27+94+41</f>
        <v>177</v>
      </c>
      <c r="H318" s="18">
        <f>401+2433+1798+1334+149</f>
        <v>6115</v>
      </c>
      <c r="I318" s="18">
        <f>101+57+100</f>
        <v>258</v>
      </c>
      <c r="J318" s="18"/>
      <c r="K318" s="18"/>
      <c r="L318" s="19">
        <f t="shared" ref="L318:L324" si="16">SUM(F318:K318)</f>
        <v>7450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f>62+192+101+50+558+150</f>
        <v>1113</v>
      </c>
      <c r="L322" s="19">
        <f t="shared" si="16"/>
        <v>1113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20719</v>
      </c>
      <c r="G327" s="42">
        <f t="shared" si="17"/>
        <v>5351</v>
      </c>
      <c r="H327" s="42">
        <f t="shared" si="17"/>
        <v>6610</v>
      </c>
      <c r="I327" s="42">
        <f t="shared" si="17"/>
        <v>4476</v>
      </c>
      <c r="J327" s="42">
        <f t="shared" si="17"/>
        <v>0</v>
      </c>
      <c r="K327" s="42">
        <f t="shared" si="17"/>
        <v>1113</v>
      </c>
      <c r="L327" s="41">
        <f t="shared" si="17"/>
        <v>38269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20719</v>
      </c>
      <c r="G337" s="41">
        <f t="shared" si="20"/>
        <v>5351</v>
      </c>
      <c r="H337" s="41">
        <f t="shared" si="20"/>
        <v>6610</v>
      </c>
      <c r="I337" s="41">
        <f t="shared" si="20"/>
        <v>4476</v>
      </c>
      <c r="J337" s="41">
        <f t="shared" si="20"/>
        <v>0</v>
      </c>
      <c r="K337" s="41">
        <f t="shared" si="20"/>
        <v>1113</v>
      </c>
      <c r="L337" s="41">
        <f t="shared" si="20"/>
        <v>38269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20719</v>
      </c>
      <c r="G351" s="41">
        <f>G337</f>
        <v>5351</v>
      </c>
      <c r="H351" s="41">
        <f>H337</f>
        <v>6610</v>
      </c>
      <c r="I351" s="41">
        <f>I337</f>
        <v>4476</v>
      </c>
      <c r="J351" s="41">
        <f>J337</f>
        <v>0</v>
      </c>
      <c r="K351" s="47">
        <f>K337+K350</f>
        <v>1113</v>
      </c>
      <c r="L351" s="41">
        <f>L337+L350</f>
        <v>38269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115531</v>
      </c>
      <c r="I375" s="18"/>
      <c r="J375" s="18"/>
      <c r="K375" s="18"/>
      <c r="L375" s="13">
        <f t="shared" si="23"/>
        <v>115531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f>2754151-H375</f>
        <v>2638620</v>
      </c>
      <c r="I379" s="18"/>
      <c r="J379" s="18"/>
      <c r="K379" s="18"/>
      <c r="L379" s="13">
        <f t="shared" si="23"/>
        <v>2638620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2754151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2754151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246158</v>
      </c>
      <c r="G464" s="18"/>
      <c r="H464" s="18">
        <v>-12958</v>
      </c>
      <c r="I464" s="18">
        <v>-2007064</v>
      </c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2929870.67</v>
      </c>
      <c r="G467" s="18"/>
      <c r="H467" s="18">
        <f>H192</f>
        <v>30801</v>
      </c>
      <c r="I467" s="18">
        <f>I192</f>
        <v>2200000</v>
      </c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v>20426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2929870.67</v>
      </c>
      <c r="G469" s="53">
        <f>SUM(G467:G468)</f>
        <v>0</v>
      </c>
      <c r="H469" s="53">
        <f>SUM(H467:H468)</f>
        <v>51227</v>
      </c>
      <c r="I469" s="53">
        <f>SUM(I467:I468)</f>
        <v>2200000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3007574.58</v>
      </c>
      <c r="G471" s="18"/>
      <c r="H471" s="18">
        <f>L337</f>
        <v>38269</v>
      </c>
      <c r="I471" s="18">
        <f>L381</f>
        <v>2754151</v>
      </c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3666.57-0.48</f>
        <v>3666.09</v>
      </c>
      <c r="G472" s="18"/>
      <c r="H472" s="18"/>
      <c r="I472" s="18">
        <v>2050710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3011240.67</v>
      </c>
      <c r="G473" s="53">
        <f>SUM(G471:G472)</f>
        <v>0</v>
      </c>
      <c r="H473" s="53">
        <f>SUM(H471:H472)</f>
        <v>38269</v>
      </c>
      <c r="I473" s="53">
        <f>SUM(I471:I472)</f>
        <v>4804861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164788</v>
      </c>
      <c r="G475" s="53">
        <f>(G464+G469)- G473</f>
        <v>0</v>
      </c>
      <c r="H475" s="53">
        <f>(H464+H469)- H473</f>
        <v>0</v>
      </c>
      <c r="I475" s="53">
        <f>(I464+I469)- I473</f>
        <v>-4611925</v>
      </c>
      <c r="J475" s="53">
        <f>(J464+J469)- J473</f>
        <v>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4571850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3.1968000000000001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4571850</v>
      </c>
      <c r="G494" s="18"/>
      <c r="H494" s="18"/>
      <c r="I494" s="18"/>
      <c r="J494" s="18"/>
      <c r="K494" s="53">
        <f>SUM(F494:J494)</f>
        <v>4571850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4571850</v>
      </c>
      <c r="G497" s="204"/>
      <c r="H497" s="204"/>
      <c r="I497" s="204"/>
      <c r="J497" s="204"/>
      <c r="K497" s="205">
        <f t="shared" si="35"/>
        <v>4571850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1607168.55</v>
      </c>
      <c r="G498" s="18"/>
      <c r="H498" s="18"/>
      <c r="I498" s="18"/>
      <c r="J498" s="18"/>
      <c r="K498" s="53">
        <f t="shared" si="35"/>
        <v>1607168.55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6179018.5499999998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6179018.5499999998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231850</v>
      </c>
      <c r="G500" s="204"/>
      <c r="H500" s="204"/>
      <c r="I500" s="204"/>
      <c r="J500" s="204"/>
      <c r="K500" s="205">
        <f t="shared" si="35"/>
        <v>231850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155271.51</v>
      </c>
      <c r="G501" s="18"/>
      <c r="H501" s="18"/>
      <c r="I501" s="18"/>
      <c r="J501" s="18"/>
      <c r="K501" s="53">
        <f t="shared" si="35"/>
        <v>155271.51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387121.51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387121.51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133046.61+1900+4690+-87.5+13317.84</f>
        <v>152866.94999999998</v>
      </c>
      <c r="G520" s="18">
        <f>68350.6+-1.27+27.55+56.99+-5.43+117.8+270.92+214.7+460.21+3100+79.5+161.41+690.04</f>
        <v>73523.020000000019</v>
      </c>
      <c r="H520" s="18">
        <f>197573.66+62300+530.47+747.5</f>
        <v>261151.63</v>
      </c>
      <c r="I520" s="18">
        <f>1588.1+4113</f>
        <v>5701.1</v>
      </c>
      <c r="J520" s="18">
        <v>452.76</v>
      </c>
      <c r="K520" s="18"/>
      <c r="L520" s="88">
        <f>SUM(F520:K520)</f>
        <v>493695.45999999996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283702</f>
        <v>283702</v>
      </c>
      <c r="I522" s="18"/>
      <c r="J522" s="18"/>
      <c r="K522" s="18"/>
      <c r="L522" s="88">
        <f>SUM(F522:K522)</f>
        <v>283702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152866.94999999998</v>
      </c>
      <c r="G523" s="108">
        <f t="shared" ref="G523:L523" si="36">SUM(G520:G522)</f>
        <v>73523.020000000019</v>
      </c>
      <c r="H523" s="108">
        <f t="shared" si="36"/>
        <v>544853.63</v>
      </c>
      <c r="I523" s="108">
        <f t="shared" si="36"/>
        <v>5701.1</v>
      </c>
      <c r="J523" s="108">
        <f t="shared" si="36"/>
        <v>452.76</v>
      </c>
      <c r="K523" s="108">
        <f t="shared" si="36"/>
        <v>0</v>
      </c>
      <c r="L523" s="89">
        <f t="shared" si="36"/>
        <v>777397.46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18076.2+1680+3915.81+6186.58</f>
        <v>29858.590000000004</v>
      </c>
      <c r="I525" s="18"/>
      <c r="J525" s="18"/>
      <c r="K525" s="18"/>
      <c r="L525" s="88">
        <f>SUM(F525:K525)</f>
        <v>29858.590000000004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f>2747.52</f>
        <v>2747.52</v>
      </c>
      <c r="I526" s="18"/>
      <c r="J526" s="18"/>
      <c r="K526" s="18"/>
      <c r="L526" s="88">
        <f>SUM(F526:K526)</f>
        <v>2747.52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32606.110000000004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32606.110000000004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7490.6</v>
      </c>
      <c r="G530" s="18">
        <v>3580.94</v>
      </c>
      <c r="H530" s="18"/>
      <c r="I530" s="18"/>
      <c r="J530" s="18"/>
      <c r="K530" s="18"/>
      <c r="L530" s="88">
        <f>SUM(F530:K530)</f>
        <v>11071.54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7490.6</v>
      </c>
      <c r="G533" s="89">
        <f t="shared" ref="G533:L533" si="38">SUM(G530:G532)</f>
        <v>3580.94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11071.54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43658</v>
      </c>
      <c r="I540" s="18"/>
      <c r="J540" s="18"/>
      <c r="K540" s="18"/>
      <c r="L540" s="88">
        <f>SUM(F540:K540)</f>
        <v>43658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8288</v>
      </c>
      <c r="I542" s="18"/>
      <c r="J542" s="18"/>
      <c r="K542" s="18"/>
      <c r="L542" s="88">
        <f>SUM(F542:K542)</f>
        <v>8288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51946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51946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160357.54999999999</v>
      </c>
      <c r="G544" s="89">
        <f t="shared" ref="G544:L544" si="41">G523+G528+G533+G538+G543</f>
        <v>77103.960000000021</v>
      </c>
      <c r="H544" s="89">
        <f t="shared" si="41"/>
        <v>629405.74</v>
      </c>
      <c r="I544" s="89">
        <f t="shared" si="41"/>
        <v>5701.1</v>
      </c>
      <c r="J544" s="89">
        <f t="shared" si="41"/>
        <v>452.76</v>
      </c>
      <c r="K544" s="89">
        <f t="shared" si="41"/>
        <v>0</v>
      </c>
      <c r="L544" s="89">
        <f t="shared" si="41"/>
        <v>873021.11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493695.45999999996</v>
      </c>
      <c r="G548" s="87">
        <f>L525</f>
        <v>29858.590000000004</v>
      </c>
      <c r="H548" s="87">
        <f>L530</f>
        <v>11071.54</v>
      </c>
      <c r="I548" s="87">
        <f>L535</f>
        <v>0</v>
      </c>
      <c r="J548" s="87">
        <f>L540</f>
        <v>43658</v>
      </c>
      <c r="K548" s="87">
        <f>SUM(F548:J548)</f>
        <v>578283.59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2747.52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2747.52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283702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8288</v>
      </c>
      <c r="K550" s="87">
        <f>SUM(F550:J550)</f>
        <v>291990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777397.46</v>
      </c>
      <c r="G551" s="89">
        <f t="shared" si="42"/>
        <v>32606.110000000004</v>
      </c>
      <c r="H551" s="89">
        <f t="shared" si="42"/>
        <v>11071.54</v>
      </c>
      <c r="I551" s="89">
        <f t="shared" si="42"/>
        <v>0</v>
      </c>
      <c r="J551" s="89">
        <f t="shared" si="42"/>
        <v>51946</v>
      </c>
      <c r="K551" s="89">
        <f t="shared" si="42"/>
        <v>873021.11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197574</v>
      </c>
      <c r="G574" s="18"/>
      <c r="H574" s="18">
        <v>902622</v>
      </c>
      <c r="I574" s="87">
        <f>SUM(F574:H574)</f>
        <v>1100196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62300</v>
      </c>
      <c r="G575" s="18"/>
      <c r="H575" s="18">
        <v>283702</v>
      </c>
      <c r="I575" s="87">
        <f t="shared" ref="I575:I586" si="47">SUM(F575:H575)</f>
        <v>346002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92880</v>
      </c>
      <c r="I590" s="18"/>
      <c r="J590" s="18"/>
      <c r="K590" s="104">
        <f t="shared" ref="K590:K596" si="48">SUM(H590:J590)</f>
        <v>92880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43658</f>
        <v>43658</v>
      </c>
      <c r="I591" s="18"/>
      <c r="J591" s="18">
        <v>8288</v>
      </c>
      <c r="K591" s="104">
        <f t="shared" si="48"/>
        <v>51946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11344</v>
      </c>
      <c r="I594" s="18"/>
      <c r="J594" s="18"/>
      <c r="K594" s="104">
        <f t="shared" si="48"/>
        <v>11344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147882</v>
      </c>
      <c r="I597" s="108">
        <f>SUM(I590:I596)</f>
        <v>0</v>
      </c>
      <c r="J597" s="108">
        <f>SUM(J590:J596)</f>
        <v>8288</v>
      </c>
      <c r="K597" s="108">
        <f>SUM(K590:K596)</f>
        <v>156170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</f>
        <v>29719.87</v>
      </c>
      <c r="I603" s="18"/>
      <c r="J603" s="18"/>
      <c r="K603" s="104">
        <f>SUM(H603:J603)</f>
        <v>29719.87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29719.87</v>
      </c>
      <c r="I604" s="108">
        <f>SUM(I601:I603)</f>
        <v>0</v>
      </c>
      <c r="J604" s="108">
        <f>SUM(J601:J603)</f>
        <v>0</v>
      </c>
      <c r="K604" s="108">
        <f>SUM(K601:K603)</f>
        <v>29719.87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-50268</v>
      </c>
      <c r="H616" s="109">
        <f>SUM(F51)</f>
        <v>-50268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-3160</v>
      </c>
      <c r="H618" s="109">
        <f>SUM(H51)</f>
        <v>-3160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537456</v>
      </c>
      <c r="H619" s="109">
        <f>SUM(I51)</f>
        <v>537456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164788</v>
      </c>
      <c r="H621" s="109">
        <f>F475</f>
        <v>164788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-4611925</v>
      </c>
      <c r="H624" s="109">
        <f>I475</f>
        <v>-4611925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2929870.67</v>
      </c>
      <c r="H626" s="104">
        <f>SUM(F467)</f>
        <v>2929870.67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30801</v>
      </c>
      <c r="H628" s="104">
        <f>SUM(H467)</f>
        <v>30801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2200000</v>
      </c>
      <c r="H629" s="104">
        <f>SUM(I467)</f>
        <v>2200000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3007574.58</v>
      </c>
      <c r="H631" s="104">
        <f>SUM(F471)</f>
        <v>3007574.58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38269</v>
      </c>
      <c r="H632" s="104">
        <f>SUM(H471)</f>
        <v>38269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2754151</v>
      </c>
      <c r="H635" s="104">
        <f>SUM(I471)</f>
        <v>2754151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156170</v>
      </c>
      <c r="H646" s="104">
        <f>L207+L225+L243</f>
        <v>156170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29719.87</v>
      </c>
      <c r="H647" s="104">
        <f>(J256+J337)-(J254+J335)</f>
        <v>29719.87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147882</v>
      </c>
      <c r="H648" s="104">
        <f>H597</f>
        <v>147882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8288</v>
      </c>
      <c r="H650" s="104">
        <f>J597</f>
        <v>8288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1698047.2899999998</v>
      </c>
      <c r="G659" s="19">
        <f>(L228+L308+L358)</f>
        <v>2748</v>
      </c>
      <c r="H659" s="19">
        <f>(L246+L327+L359)</f>
        <v>1232881</v>
      </c>
      <c r="I659" s="19">
        <f>SUM(F659:H659)</f>
        <v>2933676.29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147882</v>
      </c>
      <c r="G661" s="19">
        <f>(L225+L305)-(J225+J305)</f>
        <v>0</v>
      </c>
      <c r="H661" s="19">
        <f>(L243+L324)-(J243+J324)</f>
        <v>8288</v>
      </c>
      <c r="I661" s="19">
        <f>SUM(F661:H661)</f>
        <v>156170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289593.87</v>
      </c>
      <c r="G662" s="199">
        <f>SUM(G574:G586)+SUM(I601:I603)+L611</f>
        <v>0</v>
      </c>
      <c r="H662" s="199">
        <f>SUM(H574:H586)+SUM(J601:J603)+L612</f>
        <v>1186324</v>
      </c>
      <c r="I662" s="19">
        <f>SUM(F662:H662)</f>
        <v>1475917.87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1260571.42</v>
      </c>
      <c r="G663" s="19">
        <f>G659-SUM(G660:G662)</f>
        <v>2748</v>
      </c>
      <c r="H663" s="19">
        <f>H659-SUM(H660:H662)</f>
        <v>38269</v>
      </c>
      <c r="I663" s="19">
        <f>I659-SUM(I660:I662)</f>
        <v>1301588.42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108.08</v>
      </c>
      <c r="G664" s="248"/>
      <c r="H664" s="248"/>
      <c r="I664" s="19">
        <f>SUM(F664:H664)</f>
        <v>108.08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11663.32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12042.82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-2748</v>
      </c>
      <c r="H668" s="18">
        <v>-38269</v>
      </c>
      <c r="I668" s="19">
        <f>SUM(F668:H668)</f>
        <v>-41017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11663.32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11663.32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11" man="1"/>
    <brk id="168" max="11" man="1"/>
    <brk id="192" max="11" man="1"/>
    <brk id="210" max="11" man="1"/>
    <brk id="228" max="11" man="1"/>
    <brk id="246" max="11" man="1"/>
    <brk id="270" max="11" man="1"/>
    <brk id="289" max="11" man="1"/>
    <brk id="308" max="11" man="1"/>
    <brk id="327" max="11" man="1"/>
    <brk id="351" max="11" man="1"/>
    <brk id="381" max="11" man="1"/>
    <brk id="407" max="11" man="1"/>
    <brk id="433" max="11" man="1"/>
    <brk id="460" max="11" man="1"/>
    <brk id="484" max="11" man="1"/>
    <brk id="516" max="11" man="1"/>
    <brk id="551" max="11" man="1"/>
    <brk id="587" max="11" man="1"/>
    <brk id="614" max="11" man="1"/>
    <brk id="655" max="11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Unity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356799</v>
      </c>
      <c r="C9" s="229">
        <f>'DOE25'!G196+'DOE25'!G214+'DOE25'!G232+'DOE25'!G275+'DOE25'!G294+'DOE25'!G313</f>
        <v>201843</v>
      </c>
    </row>
    <row r="10" spans="1:3" x14ac:dyDescent="0.2">
      <c r="A10" t="s">
        <v>779</v>
      </c>
      <c r="B10" s="240">
        <f>B9-B11-B12</f>
        <v>356799</v>
      </c>
      <c r="C10" s="240">
        <f>C9-C11-C12</f>
        <v>201843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356799</v>
      </c>
      <c r="C13" s="231">
        <f>SUM(C10:C12)</f>
        <v>201843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146363.60999999999</v>
      </c>
      <c r="C18" s="229">
        <f>'DOE25'!G197+'DOE25'!G215+'DOE25'!G233+'DOE25'!G276+'DOE25'!G295+'DOE25'!G314</f>
        <v>72381.599999999991</v>
      </c>
    </row>
    <row r="19" spans="1:3" x14ac:dyDescent="0.2">
      <c r="A19" t="s">
        <v>779</v>
      </c>
      <c r="B19" s="240">
        <f>B18-B20-B21</f>
        <v>55907.609999999986</v>
      </c>
      <c r="C19" s="240">
        <f>C18-C20-C21</f>
        <v>72381.599999999991</v>
      </c>
    </row>
    <row r="20" spans="1:3" x14ac:dyDescent="0.2">
      <c r="A20" t="s">
        <v>780</v>
      </c>
      <c r="B20" s="240">
        <v>90456</v>
      </c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146363.60999999999</v>
      </c>
      <c r="C22" s="231">
        <f>SUM(C19:C21)</f>
        <v>72381.599999999991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1500</v>
      </c>
      <c r="C36" s="235">
        <f>'DOE25'!G199+'DOE25'!G217+'DOE25'!G235+'DOE25'!G278+'DOE25'!G297+'DOE25'!G316</f>
        <v>2433.2399999999998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1500</v>
      </c>
      <c r="C39" s="240">
        <v>2433.2399999999998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1500</v>
      </c>
      <c r="C40" s="231">
        <f>SUM(C37:C39)</f>
        <v>2433.2399999999998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Unity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2289098.21</v>
      </c>
      <c r="D5" s="20">
        <f>SUM('DOE25'!L196:L199)+SUM('DOE25'!L214:L217)+SUM('DOE25'!L232:L235)-F5-G5</f>
        <v>2265458.19</v>
      </c>
      <c r="E5" s="243"/>
      <c r="F5" s="255">
        <f>SUM('DOE25'!J196:J199)+SUM('DOE25'!J214:J217)+SUM('DOE25'!J232:J235)</f>
        <v>23640.019999999997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37490.699999999997</v>
      </c>
      <c r="D6" s="20">
        <f>'DOE25'!L201+'DOE25'!L219+'DOE25'!L237-F6-G6</f>
        <v>37490.699999999997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38411.79</v>
      </c>
      <c r="D7" s="20">
        <f>'DOE25'!L202+'DOE25'!L220+'DOE25'!L238-F7-G7</f>
        <v>38411.79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101768.01000000001</v>
      </c>
      <c r="D8" s="243"/>
      <c r="E8" s="20">
        <f>'DOE25'!L203+'DOE25'!L221+'DOE25'!L239-F8-G8-D9-D11</f>
        <v>99442.610000000015</v>
      </c>
      <c r="F8" s="255">
        <f>'DOE25'!J203+'DOE25'!J221+'DOE25'!J239</f>
        <v>2325.4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28185</v>
      </c>
      <c r="D9" s="244">
        <v>28185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6431</v>
      </c>
      <c r="D10" s="243"/>
      <c r="E10" s="244">
        <v>6431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18114.18</v>
      </c>
      <c r="D11" s="244">
        <f>219300*0.0826</f>
        <v>18114.18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143596.95000000001</v>
      </c>
      <c r="D12" s="20">
        <f>'DOE25'!L204+'DOE25'!L222+'DOE25'!L240-F12-G12</f>
        <v>139842.5</v>
      </c>
      <c r="E12" s="243"/>
      <c r="F12" s="255">
        <f>'DOE25'!J204+'DOE25'!J222+'DOE25'!J240</f>
        <v>3754.45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82572.45</v>
      </c>
      <c r="D14" s="20">
        <f>'DOE25'!L206+'DOE25'!L224+'DOE25'!L242-F14-G14</f>
        <v>82572.45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156170</v>
      </c>
      <c r="D15" s="20">
        <f>'DOE25'!L207+'DOE25'!L225+'DOE25'!L243-F15-G15</f>
        <v>156170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112167.29</v>
      </c>
      <c r="D25" s="243"/>
      <c r="E25" s="243"/>
      <c r="F25" s="258"/>
      <c r="G25" s="256"/>
      <c r="H25" s="257">
        <f>'DOE25'!L259+'DOE25'!L260+'DOE25'!L340+'DOE25'!L341</f>
        <v>112167.29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38269</v>
      </c>
      <c r="D31" s="20">
        <f>'DOE25'!L289+'DOE25'!L308+'DOE25'!L327+'DOE25'!L332+'DOE25'!L333+'DOE25'!L334-F31-G31</f>
        <v>37156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1113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2803400.8100000005</v>
      </c>
      <c r="E33" s="246">
        <f>SUM(E5:E31)</f>
        <v>105873.61000000002</v>
      </c>
      <c r="F33" s="246">
        <f>SUM(F5:F31)</f>
        <v>29719.87</v>
      </c>
      <c r="G33" s="246">
        <f>SUM(G5:G31)</f>
        <v>1113</v>
      </c>
      <c r="H33" s="246">
        <f>SUM(H5:H31)</f>
        <v>112167.29</v>
      </c>
    </row>
    <row r="35" spans="2:8" ht="12" thickBot="1" x14ac:dyDescent="0.25">
      <c r="B35" s="253" t="s">
        <v>847</v>
      </c>
      <c r="D35" s="254">
        <f>E33</f>
        <v>105873.61000000002</v>
      </c>
      <c r="E35" s="249"/>
    </row>
    <row r="36" spans="2:8" ht="12" thickTop="1" x14ac:dyDescent="0.2">
      <c r="B36" t="s">
        <v>815</v>
      </c>
      <c r="D36" s="20">
        <f>D33</f>
        <v>2803400.8100000005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-123239</v>
      </c>
      <c r="D8" s="95">
        <f>'DOE25'!G9</f>
        <v>0</v>
      </c>
      <c r="E8" s="95">
        <f>'DOE25'!H9</f>
        <v>0</v>
      </c>
      <c r="F8" s="95">
        <f>'DOE25'!I9</f>
        <v>537456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71688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-3160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1413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-130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-50268</v>
      </c>
      <c r="D18" s="41">
        <f>SUM(D8:D17)</f>
        <v>0</v>
      </c>
      <c r="E18" s="41">
        <f>SUM(E8:E17)</f>
        <v>-3160</v>
      </c>
      <c r="F18" s="41">
        <f>SUM(F8:F17)</f>
        <v>537456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-449381</v>
      </c>
      <c r="D21" s="95">
        <f>'DOE25'!G22</f>
        <v>0</v>
      </c>
      <c r="E21" s="95">
        <f>'DOE25'!H22</f>
        <v>0</v>
      </c>
      <c r="F21" s="95">
        <f>'DOE25'!I22</f>
        <v>449381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-3160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28055</v>
      </c>
      <c r="D25" s="24" t="s">
        <v>289</v>
      </c>
      <c r="E25" s="24" t="s">
        <v>289</v>
      </c>
      <c r="F25" s="95">
        <f>'DOE25'!I26</f>
        <v>4700000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-652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206922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-215056</v>
      </c>
      <c r="D31" s="41">
        <f>SUM(D21:D30)</f>
        <v>0</v>
      </c>
      <c r="E31" s="41">
        <f>SUM(E21:E30)</f>
        <v>-3160</v>
      </c>
      <c r="F31" s="41">
        <f>SUM(F21:F30)</f>
        <v>5149381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1413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64157</v>
      </c>
      <c r="D46" s="95">
        <f>'DOE25'!G47</f>
        <v>0</v>
      </c>
      <c r="E46" s="95">
        <f>'DOE25'!H47</f>
        <v>0</v>
      </c>
      <c r="F46" s="95">
        <f>'DOE25'!I47</f>
        <v>-5138477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53568</v>
      </c>
      <c r="D47" s="95">
        <f>'DOE25'!G48</f>
        <v>0</v>
      </c>
      <c r="E47" s="95">
        <f>'DOE25'!H48</f>
        <v>0</v>
      </c>
      <c r="F47" s="95">
        <f>'DOE25'!I48</f>
        <v>526552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45650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164788</v>
      </c>
      <c r="D49" s="41">
        <f>SUM(D34:D48)</f>
        <v>0</v>
      </c>
      <c r="E49" s="41">
        <f>SUM(E34:E48)</f>
        <v>0</v>
      </c>
      <c r="F49" s="41">
        <f>SUM(F34:F48)</f>
        <v>-4611925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-50268</v>
      </c>
      <c r="D50" s="41">
        <f>D49+D31</f>
        <v>0</v>
      </c>
      <c r="E50" s="41">
        <f>E49+E31</f>
        <v>-3160</v>
      </c>
      <c r="F50" s="41">
        <f>F49+F31</f>
        <v>537456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1489475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5622.66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6601.6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12224.26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1501699.26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840904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307523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1148427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52875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52280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133859.41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239014.41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1387441.41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40730</v>
      </c>
      <c r="D87" s="95">
        <f>SUM('DOE25'!G152:G160)</f>
        <v>0</v>
      </c>
      <c r="E87" s="95">
        <f>SUM('DOE25'!H152:H160)</f>
        <v>30801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40730</v>
      </c>
      <c r="D90" s="131">
        <f>SUM(D84:D89)</f>
        <v>0</v>
      </c>
      <c r="E90" s="131">
        <f>SUM(E84:E89)</f>
        <v>30801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2200000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2200000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2929870.67</v>
      </c>
      <c r="D103" s="86">
        <f>D62+D80+D90+D102</f>
        <v>0</v>
      </c>
      <c r="E103" s="86">
        <f>E62+E80+E90+E102</f>
        <v>30801</v>
      </c>
      <c r="F103" s="86">
        <f>F62+F80+F90+F102</f>
        <v>2200000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1505014.65</v>
      </c>
      <c r="D108" s="24" t="s">
        <v>289</v>
      </c>
      <c r="E108" s="95">
        <f>('DOE25'!L275)+('DOE25'!L294)+('DOE25'!L313)</f>
        <v>11610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780150.32</v>
      </c>
      <c r="D109" s="24" t="s">
        <v>289</v>
      </c>
      <c r="E109" s="95">
        <f>('DOE25'!L276)+('DOE25'!L295)+('DOE25'!L314)</f>
        <v>18096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3933.24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2289098.21</v>
      </c>
      <c r="D114" s="86">
        <f>SUM(D108:D113)</f>
        <v>0</v>
      </c>
      <c r="E114" s="86">
        <f>SUM(E108:E113)</f>
        <v>29706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37490.699999999997</v>
      </c>
      <c r="D117" s="24" t="s">
        <v>289</v>
      </c>
      <c r="E117" s="95">
        <f>+('DOE25'!L280)+('DOE25'!L299)+('DOE25'!L318)</f>
        <v>7450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38411.79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148067.19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143596.95000000001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1113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82572.45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156170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606309.08000000007</v>
      </c>
      <c r="D127" s="86">
        <f>SUM(D117:D126)</f>
        <v>0</v>
      </c>
      <c r="E127" s="86">
        <f>SUM(E117:E126)</f>
        <v>8563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2754151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20829.03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91338.26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112167.29</v>
      </c>
      <c r="D143" s="141">
        <f>SUM(D129:D142)</f>
        <v>0</v>
      </c>
      <c r="E143" s="141">
        <f>SUM(E129:E142)</f>
        <v>0</v>
      </c>
      <c r="F143" s="141">
        <f>SUM(F129:F142)</f>
        <v>2754151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3007574.58</v>
      </c>
      <c r="D144" s="86">
        <f>(D114+D127+D143)</f>
        <v>0</v>
      </c>
      <c r="E144" s="86">
        <f>(E114+E127+E143)</f>
        <v>38269</v>
      </c>
      <c r="F144" s="86">
        <f>(F114+F127+F143)</f>
        <v>2754151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08/32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4571850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3.1968000000000001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4571850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4571850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4571850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4571850</v>
      </c>
    </row>
    <row r="159" spans="1:9" x14ac:dyDescent="0.2">
      <c r="A159" s="22" t="s">
        <v>36</v>
      </c>
      <c r="B159" s="137">
        <f>'DOE25'!F498</f>
        <v>1607168.55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1607168.55</v>
      </c>
    </row>
    <row r="160" spans="1:9" x14ac:dyDescent="0.2">
      <c r="A160" s="22" t="s">
        <v>37</v>
      </c>
      <c r="B160" s="137">
        <f>'DOE25'!F499</f>
        <v>6179018.5499999998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6179018.5499999998</v>
      </c>
    </row>
    <row r="161" spans="1:7" x14ac:dyDescent="0.2">
      <c r="A161" s="22" t="s">
        <v>38</v>
      </c>
      <c r="B161" s="137">
        <f>'DOE25'!F500</f>
        <v>231850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231850</v>
      </c>
    </row>
    <row r="162" spans="1:7" x14ac:dyDescent="0.2">
      <c r="A162" s="22" t="s">
        <v>39</v>
      </c>
      <c r="B162" s="137">
        <f>'DOE25'!F501</f>
        <v>155271.51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155271.51</v>
      </c>
    </row>
    <row r="163" spans="1:7" x14ac:dyDescent="0.2">
      <c r="A163" s="22" t="s">
        <v>246</v>
      </c>
      <c r="B163" s="137">
        <f>'DOE25'!F502</f>
        <v>387121.51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387121.51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Unity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11663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11663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1516625</v>
      </c>
      <c r="D10" s="182">
        <f>ROUND((C10/$C$28)*100,1)</f>
        <v>50.1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798246</v>
      </c>
      <c r="D11" s="182">
        <f>ROUND((C11/$C$28)*100,1)</f>
        <v>26.4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3933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44941</v>
      </c>
      <c r="D15" s="182">
        <f t="shared" ref="D15:D27" si="0">ROUND((C15/$C$28)*100,1)</f>
        <v>1.5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38412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148067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143597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1113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82572</v>
      </c>
      <c r="D20" s="182">
        <f t="shared" si="0"/>
        <v>2.7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156170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91338</v>
      </c>
      <c r="D25" s="182">
        <f t="shared" si="0"/>
        <v>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3025014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2754151</v>
      </c>
    </row>
    <row r="30" spans="1:4" x14ac:dyDescent="0.2">
      <c r="B30" s="187" t="s">
        <v>729</v>
      </c>
      <c r="C30" s="180">
        <f>SUM(C28:C29)</f>
        <v>5779165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20829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1489475</v>
      </c>
      <c r="D35" s="182">
        <f t="shared" ref="D35:D40" si="1">ROUND((C35/$C$41)*100,1)</f>
        <v>50.3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12224.260000000009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1148427</v>
      </c>
      <c r="D37" s="182">
        <f t="shared" si="1"/>
        <v>38.799999999999997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239014</v>
      </c>
      <c r="D38" s="182">
        <f t="shared" si="1"/>
        <v>8.1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71531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2960671.26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2200000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Unity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2013-11-01T13:40:24Z</cp:lastPrinted>
  <dcterms:created xsi:type="dcterms:W3CDTF">1997-12-04T19:04:30Z</dcterms:created>
  <dcterms:modified xsi:type="dcterms:W3CDTF">2013-11-25T18:46:22Z</dcterms:modified>
</cp:coreProperties>
</file>