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471" i="1" l="1"/>
  <c r="H467" i="1"/>
  <c r="H155" i="1"/>
  <c r="H154" i="1"/>
  <c r="H153" i="1"/>
  <c r="I425" i="1"/>
  <c r="J471" i="1"/>
  <c r="J178" i="1"/>
  <c r="J467" i="1"/>
  <c r="G610" i="1"/>
  <c r="J603" i="1"/>
  <c r="H603" i="1"/>
  <c r="J591" i="1"/>
  <c r="J590" i="1" s="1"/>
  <c r="H591" i="1"/>
  <c r="H590" i="1"/>
  <c r="F520" i="1"/>
  <c r="G471" i="1"/>
  <c r="F440" i="1"/>
  <c r="K425" i="1"/>
  <c r="G391" i="1"/>
  <c r="G24" i="1" l="1"/>
  <c r="G12" i="1"/>
  <c r="K520" i="1" l="1"/>
  <c r="F49" i="1"/>
  <c r="J520" i="1"/>
  <c r="I520" i="1"/>
  <c r="H520" i="1"/>
  <c r="G520" i="1"/>
  <c r="F109" i="1"/>
  <c r="F9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C117" i="2" s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C122" i="2" s="1"/>
  <c r="L224" i="1"/>
  <c r="L242" i="1"/>
  <c r="F15" i="13"/>
  <c r="G15" i="13"/>
  <c r="L207" i="1"/>
  <c r="L225" i="1"/>
  <c r="L243" i="1"/>
  <c r="F17" i="13"/>
  <c r="G17" i="13"/>
  <c r="D17" i="13" s="1"/>
  <c r="C17" i="13" s="1"/>
  <c r="L250" i="1"/>
  <c r="C113" i="2" s="1"/>
  <c r="F18" i="13"/>
  <c r="G18" i="13"/>
  <c r="L251" i="1"/>
  <c r="F19" i="13"/>
  <c r="G19" i="13"/>
  <c r="D19" i="13" s="1"/>
  <c r="C19" i="13" s="1"/>
  <c r="L252" i="1"/>
  <c r="F29" i="13"/>
  <c r="G29" i="13"/>
  <c r="L357" i="1"/>
  <c r="D126" i="2" s="1"/>
  <c r="D127" i="2" s="1"/>
  <c r="L358" i="1"/>
  <c r="L359" i="1"/>
  <c r="I366" i="1"/>
  <c r="J289" i="1"/>
  <c r="J308" i="1"/>
  <c r="J327" i="1"/>
  <c r="K289" i="1"/>
  <c r="K308" i="1"/>
  <c r="K327" i="1"/>
  <c r="L275" i="1"/>
  <c r="E108" i="2" s="1"/>
  <c r="L276" i="1"/>
  <c r="L277" i="1"/>
  <c r="L278" i="1"/>
  <c r="L280" i="1"/>
  <c r="L281" i="1"/>
  <c r="L282" i="1"/>
  <c r="L283" i="1"/>
  <c r="L284" i="1"/>
  <c r="E121" i="2" s="1"/>
  <c r="L285" i="1"/>
  <c r="L286" i="1"/>
  <c r="L287" i="1"/>
  <c r="L294" i="1"/>
  <c r="L295" i="1"/>
  <c r="E109" i="2" s="1"/>
  <c r="L296" i="1"/>
  <c r="E110" i="2" s="1"/>
  <c r="L297" i="1"/>
  <c r="E111" i="2" s="1"/>
  <c r="L299" i="1"/>
  <c r="L308" i="1" s="1"/>
  <c r="L300" i="1"/>
  <c r="L301" i="1"/>
  <c r="L302" i="1"/>
  <c r="L303" i="1"/>
  <c r="L304" i="1"/>
  <c r="L305" i="1"/>
  <c r="L306" i="1"/>
  <c r="L313" i="1"/>
  <c r="L327" i="1" s="1"/>
  <c r="L314" i="1"/>
  <c r="L315" i="1"/>
  <c r="L316" i="1"/>
  <c r="L318" i="1"/>
  <c r="L319" i="1"/>
  <c r="L320" i="1"/>
  <c r="L321" i="1"/>
  <c r="L322" i="1"/>
  <c r="L323" i="1"/>
  <c r="L324" i="1"/>
  <c r="L325" i="1"/>
  <c r="L332" i="1"/>
  <c r="E113" i="2" s="1"/>
  <c r="L333" i="1"/>
  <c r="L334" i="1"/>
  <c r="L259" i="1"/>
  <c r="C130" i="2" s="1"/>
  <c r="L260" i="1"/>
  <c r="L340" i="1"/>
  <c r="L341" i="1"/>
  <c r="L254" i="1"/>
  <c r="L335" i="1"/>
  <c r="F22" i="13" s="1"/>
  <c r="C22" i="13" s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G61" i="2" s="1"/>
  <c r="F2" i="11"/>
  <c r="L612" i="1"/>
  <c r="H662" i="1" s="1"/>
  <c r="L611" i="1"/>
  <c r="G662" i="1" s="1"/>
  <c r="L610" i="1"/>
  <c r="F662" i="1" s="1"/>
  <c r="C40" i="10"/>
  <c r="F59" i="1"/>
  <c r="C55" i="2" s="1"/>
  <c r="G59" i="1"/>
  <c r="D55" i="2" s="1"/>
  <c r="H59" i="1"/>
  <c r="I59" i="1"/>
  <c r="F55" i="2" s="1"/>
  <c r="F78" i="1"/>
  <c r="C56" i="2" s="1"/>
  <c r="F93" i="1"/>
  <c r="F110" i="1"/>
  <c r="G110" i="1"/>
  <c r="H78" i="1"/>
  <c r="H93" i="1"/>
  <c r="E57" i="2" s="1"/>
  <c r="H110" i="1"/>
  <c r="I110" i="1"/>
  <c r="I111" i="1" s="1"/>
  <c r="J110" i="1"/>
  <c r="J111" i="1" s="1"/>
  <c r="F120" i="1"/>
  <c r="F135" i="1"/>
  <c r="G120" i="1"/>
  <c r="G135" i="1"/>
  <c r="H120" i="1"/>
  <c r="H135" i="1"/>
  <c r="H139" i="1" s="1"/>
  <c r="I120" i="1"/>
  <c r="I135" i="1"/>
  <c r="J120" i="1"/>
  <c r="J135" i="1"/>
  <c r="F146" i="1"/>
  <c r="F161" i="1"/>
  <c r="F168" i="1" s="1"/>
  <c r="G146" i="1"/>
  <c r="G161" i="1"/>
  <c r="H146" i="1"/>
  <c r="H161" i="1"/>
  <c r="I146" i="1"/>
  <c r="I161" i="1"/>
  <c r="I168" i="1" s="1"/>
  <c r="L249" i="1"/>
  <c r="L331" i="1"/>
  <c r="C23" i="10" s="1"/>
  <c r="L253" i="1"/>
  <c r="L267" i="1"/>
  <c r="L268" i="1"/>
  <c r="L348" i="1"/>
  <c r="E141" i="2" s="1"/>
  <c r="L349" i="1"/>
  <c r="I664" i="1"/>
  <c r="I669" i="1"/>
  <c r="G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H551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D31" i="2" s="1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E55" i="2"/>
  <c r="E56" i="2"/>
  <c r="C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D80" i="2" s="1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E102" i="2" s="1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12" i="2"/>
  <c r="D114" i="2"/>
  <c r="F114" i="2"/>
  <c r="G114" i="2"/>
  <c r="E120" i="2"/>
  <c r="F127" i="2"/>
  <c r="G127" i="2"/>
  <c r="C129" i="2"/>
  <c r="E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G155" i="2" s="1"/>
  <c r="B156" i="2"/>
  <c r="C156" i="2"/>
  <c r="D156" i="2"/>
  <c r="E156" i="2"/>
  <c r="F156" i="2"/>
  <c r="B157" i="2"/>
  <c r="C157" i="2"/>
  <c r="D157" i="2"/>
  <c r="E157" i="2"/>
  <c r="F157" i="2"/>
  <c r="B158" i="2"/>
  <c r="G158" i="2" s="1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G618" i="1" s="1"/>
  <c r="I19" i="1"/>
  <c r="G619" i="1" s="1"/>
  <c r="F32" i="1"/>
  <c r="G32" i="1"/>
  <c r="H32" i="1"/>
  <c r="I32" i="1"/>
  <c r="F50" i="1"/>
  <c r="G621" i="1" s="1"/>
  <c r="G50" i="1"/>
  <c r="H50" i="1"/>
  <c r="H51" i="1" s="1"/>
  <c r="H618" i="1" s="1"/>
  <c r="I50" i="1"/>
  <c r="F176" i="1"/>
  <c r="I176" i="1"/>
  <c r="F182" i="1"/>
  <c r="G182" i="1"/>
  <c r="H182" i="1"/>
  <c r="I182" i="1"/>
  <c r="J182" i="1"/>
  <c r="J191" i="1" s="1"/>
  <c r="F187" i="1"/>
  <c r="G187" i="1"/>
  <c r="H187" i="1"/>
  <c r="H191" i="1" s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L255" i="1" s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I368" i="1" s="1"/>
  <c r="H633" i="1" s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I407" i="1" s="1"/>
  <c r="L412" i="1"/>
  <c r="L413" i="1"/>
  <c r="L414" i="1"/>
  <c r="L418" i="1" s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32" i="1" s="1"/>
  <c r="L429" i="1"/>
  <c r="L430" i="1"/>
  <c r="L431" i="1"/>
  <c r="F432" i="1"/>
  <c r="G432" i="1"/>
  <c r="H432" i="1"/>
  <c r="I432" i="1"/>
  <c r="J432" i="1"/>
  <c r="F445" i="1"/>
  <c r="G638" i="1" s="1"/>
  <c r="G445" i="1"/>
  <c r="G639" i="1" s="1"/>
  <c r="H445" i="1"/>
  <c r="F451" i="1"/>
  <c r="G451" i="1"/>
  <c r="H451" i="1"/>
  <c r="F459" i="1"/>
  <c r="G459" i="1"/>
  <c r="G460" i="1" s="1"/>
  <c r="H639" i="1" s="1"/>
  <c r="H459" i="1"/>
  <c r="F460" i="1"/>
  <c r="H638" i="1" s="1"/>
  <c r="H460" i="1"/>
  <c r="H469" i="1"/>
  <c r="I469" i="1"/>
  <c r="J469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9" i="1" s="1"/>
  <c r="L557" i="1"/>
  <c r="L558" i="1"/>
  <c r="F559" i="1"/>
  <c r="G559" i="1"/>
  <c r="H559" i="1"/>
  <c r="I559" i="1"/>
  <c r="J559" i="1"/>
  <c r="K559" i="1"/>
  <c r="L561" i="1"/>
  <c r="L564" i="1" s="1"/>
  <c r="L562" i="1"/>
  <c r="L563" i="1"/>
  <c r="F564" i="1"/>
  <c r="G564" i="1"/>
  <c r="H564" i="1"/>
  <c r="H570" i="1" s="1"/>
  <c r="I564" i="1"/>
  <c r="J564" i="1"/>
  <c r="K564" i="1"/>
  <c r="L566" i="1"/>
  <c r="L569" i="1" s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7" i="1" s="1"/>
  <c r="G646" i="1" s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4" i="1" s="1"/>
  <c r="G647" i="1" s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22" i="1"/>
  <c r="G623" i="1"/>
  <c r="G624" i="1"/>
  <c r="H628" i="1"/>
  <c r="H629" i="1"/>
  <c r="H630" i="1"/>
  <c r="H632" i="1"/>
  <c r="H634" i="1"/>
  <c r="H635" i="1"/>
  <c r="H636" i="1"/>
  <c r="H637" i="1"/>
  <c r="G640" i="1"/>
  <c r="H640" i="1"/>
  <c r="G642" i="1"/>
  <c r="G643" i="1"/>
  <c r="G649" i="1"/>
  <c r="G650" i="1"/>
  <c r="G651" i="1"/>
  <c r="H651" i="1"/>
  <c r="G652" i="1"/>
  <c r="H652" i="1"/>
  <c r="G653" i="1"/>
  <c r="H653" i="1"/>
  <c r="H654" i="1"/>
  <c r="G551" i="1"/>
  <c r="J139" i="1"/>
  <c r="F570" i="1"/>
  <c r="I551" i="1"/>
  <c r="G22" i="2"/>
  <c r="L400" i="1"/>
  <c r="C138" i="2" s="1"/>
  <c r="I570" i="1"/>
  <c r="G36" i="2"/>
  <c r="A40" i="12" l="1"/>
  <c r="A13" i="12"/>
  <c r="I475" i="1"/>
  <c r="H624" i="1" s="1"/>
  <c r="J624" i="1" s="1"/>
  <c r="H475" i="1"/>
  <c r="H623" i="1" s="1"/>
  <c r="J623" i="1" s="1"/>
  <c r="J475" i="1"/>
  <c r="H625" i="1" s="1"/>
  <c r="J650" i="1"/>
  <c r="K570" i="1"/>
  <c r="J570" i="1"/>
  <c r="J551" i="1"/>
  <c r="K548" i="1"/>
  <c r="L543" i="1"/>
  <c r="I544" i="1"/>
  <c r="K550" i="1"/>
  <c r="G544" i="1"/>
  <c r="L533" i="1"/>
  <c r="H544" i="1"/>
  <c r="K544" i="1"/>
  <c r="L528" i="1"/>
  <c r="K549" i="1"/>
  <c r="J544" i="1"/>
  <c r="J638" i="1"/>
  <c r="I459" i="1"/>
  <c r="J639" i="1"/>
  <c r="I451" i="1"/>
  <c r="J640" i="1"/>
  <c r="I445" i="1"/>
  <c r="G641" i="1" s="1"/>
  <c r="L426" i="1"/>
  <c r="L433" i="1" s="1"/>
  <c r="G637" i="1" s="1"/>
  <c r="J637" i="1" s="1"/>
  <c r="G407" i="1"/>
  <c r="H644" i="1" s="1"/>
  <c r="H407" i="1"/>
  <c r="H643" i="1" s="1"/>
  <c r="J643" i="1" s="1"/>
  <c r="F407" i="1"/>
  <c r="H642" i="1" s="1"/>
  <c r="L392" i="1"/>
  <c r="C137" i="2" s="1"/>
  <c r="J642" i="1"/>
  <c r="F129" i="2"/>
  <c r="F143" i="2" s="1"/>
  <c r="F144" i="2" s="1"/>
  <c r="L381" i="1"/>
  <c r="G635" i="1" s="1"/>
  <c r="J635" i="1" s="1"/>
  <c r="C29" i="10"/>
  <c r="J633" i="1"/>
  <c r="L361" i="1"/>
  <c r="C27" i="10" s="1"/>
  <c r="H660" i="1"/>
  <c r="D29" i="13"/>
  <c r="C29" i="13" s="1"/>
  <c r="J654" i="1"/>
  <c r="G191" i="1"/>
  <c r="G644" i="1"/>
  <c r="G102" i="2"/>
  <c r="F102" i="2"/>
  <c r="H168" i="1"/>
  <c r="F90" i="2"/>
  <c r="D90" i="2"/>
  <c r="E77" i="2"/>
  <c r="E80" i="2" s="1"/>
  <c r="G80" i="2"/>
  <c r="D61" i="2"/>
  <c r="D62" i="2" s="1"/>
  <c r="H111" i="1"/>
  <c r="G111" i="1"/>
  <c r="D49" i="2"/>
  <c r="D50" i="2" s="1"/>
  <c r="E49" i="2"/>
  <c r="I51" i="1"/>
  <c r="H619" i="1" s="1"/>
  <c r="J619" i="1" s="1"/>
  <c r="E31" i="2"/>
  <c r="F18" i="2"/>
  <c r="G51" i="1"/>
  <c r="H617" i="1" s="1"/>
  <c r="J617" i="1" s="1"/>
  <c r="H25" i="13"/>
  <c r="C25" i="13" s="1"/>
  <c r="L523" i="1"/>
  <c r="F551" i="1"/>
  <c r="E61" i="2"/>
  <c r="E62" i="2" s="1"/>
  <c r="E18" i="2"/>
  <c r="D18" i="2"/>
  <c r="F77" i="2"/>
  <c r="F80" i="2" s="1"/>
  <c r="C77" i="2"/>
  <c r="C80" i="2" s="1"/>
  <c r="F61" i="2"/>
  <c r="F62" i="2" s="1"/>
  <c r="F49" i="2"/>
  <c r="F31" i="2"/>
  <c r="G162" i="2"/>
  <c r="G163" i="2"/>
  <c r="K502" i="1"/>
  <c r="G159" i="2"/>
  <c r="G161" i="2"/>
  <c r="G160" i="2"/>
  <c r="G157" i="2"/>
  <c r="G156" i="2"/>
  <c r="G660" i="1"/>
  <c r="F660" i="1"/>
  <c r="C26" i="10"/>
  <c r="L350" i="1"/>
  <c r="E143" i="2"/>
  <c r="E112" i="2"/>
  <c r="E114" i="2" s="1"/>
  <c r="E119" i="2"/>
  <c r="E118" i="2"/>
  <c r="H661" i="1"/>
  <c r="H337" i="1"/>
  <c r="H351" i="1" s="1"/>
  <c r="J337" i="1"/>
  <c r="J351" i="1" s="1"/>
  <c r="K337" i="1"/>
  <c r="K351" i="1" s="1"/>
  <c r="G337" i="1"/>
  <c r="G351" i="1" s="1"/>
  <c r="E117" i="2"/>
  <c r="F337" i="1"/>
  <c r="F351" i="1" s="1"/>
  <c r="E124" i="2"/>
  <c r="E123" i="2"/>
  <c r="E122" i="2"/>
  <c r="L289" i="1"/>
  <c r="L337" i="1" s="1"/>
  <c r="L351" i="1" s="1"/>
  <c r="G632" i="1" s="1"/>
  <c r="J632" i="1" s="1"/>
  <c r="C141" i="2"/>
  <c r="C131" i="2"/>
  <c r="C25" i="10"/>
  <c r="C32" i="10"/>
  <c r="D12" i="13"/>
  <c r="C12" i="13" s="1"/>
  <c r="C21" i="10"/>
  <c r="C111" i="2"/>
  <c r="G256" i="1"/>
  <c r="G270" i="1" s="1"/>
  <c r="I256" i="1"/>
  <c r="I270" i="1" s="1"/>
  <c r="K256" i="1"/>
  <c r="K270" i="1" s="1"/>
  <c r="J256" i="1"/>
  <c r="J270" i="1" s="1"/>
  <c r="D18" i="13"/>
  <c r="C18" i="13" s="1"/>
  <c r="H256" i="1"/>
  <c r="H270" i="1" s="1"/>
  <c r="C18" i="10"/>
  <c r="C17" i="10"/>
  <c r="L246" i="1"/>
  <c r="H659" i="1" s="1"/>
  <c r="C15" i="10"/>
  <c r="C121" i="2"/>
  <c r="C16" i="10"/>
  <c r="C124" i="2"/>
  <c r="C110" i="2"/>
  <c r="D7" i="13"/>
  <c r="C7" i="13" s="1"/>
  <c r="C118" i="2"/>
  <c r="E16" i="13"/>
  <c r="C16" i="13" s="1"/>
  <c r="C120" i="2"/>
  <c r="C119" i="2"/>
  <c r="F256" i="1"/>
  <c r="F270" i="1" s="1"/>
  <c r="D6" i="13"/>
  <c r="C6" i="13" s="1"/>
  <c r="C19" i="10"/>
  <c r="D14" i="13"/>
  <c r="C14" i="13" s="1"/>
  <c r="A31" i="12"/>
  <c r="C13" i="10"/>
  <c r="L228" i="1"/>
  <c r="G659" i="1" s="1"/>
  <c r="C12" i="10"/>
  <c r="C11" i="10"/>
  <c r="C123" i="2"/>
  <c r="G648" i="1"/>
  <c r="J648" i="1" s="1"/>
  <c r="D15" i="13"/>
  <c r="C15" i="13" s="1"/>
  <c r="H646" i="1"/>
  <c r="J646" i="1" s="1"/>
  <c r="F661" i="1"/>
  <c r="I661" i="1" s="1"/>
  <c r="C20" i="10"/>
  <c r="E13" i="13"/>
  <c r="C13" i="13" s="1"/>
  <c r="E8" i="13"/>
  <c r="C8" i="13" s="1"/>
  <c r="L210" i="1"/>
  <c r="C109" i="2"/>
  <c r="C108" i="2"/>
  <c r="C10" i="10"/>
  <c r="D5" i="13"/>
  <c r="C5" i="13" s="1"/>
  <c r="F191" i="1"/>
  <c r="C102" i="2"/>
  <c r="C90" i="2"/>
  <c r="H33" i="13"/>
  <c r="D144" i="2"/>
  <c r="C69" i="2"/>
  <c r="C61" i="2"/>
  <c r="C62" i="2" s="1"/>
  <c r="F111" i="1"/>
  <c r="C35" i="10"/>
  <c r="C49" i="2"/>
  <c r="C50" i="2" s="1"/>
  <c r="C31" i="2"/>
  <c r="F51" i="1"/>
  <c r="H616" i="1" s="1"/>
  <c r="J616" i="1" s="1"/>
  <c r="C18" i="2"/>
  <c r="C24" i="10"/>
  <c r="G31" i="13"/>
  <c r="G33" i="13" s="1"/>
  <c r="I337" i="1"/>
  <c r="I351" i="1" s="1"/>
  <c r="J649" i="1"/>
  <c r="L406" i="1"/>
  <c r="C139" i="2" s="1"/>
  <c r="L570" i="1"/>
  <c r="I191" i="1"/>
  <c r="E90" i="2"/>
  <c r="J653" i="1"/>
  <c r="J652" i="1"/>
  <c r="G21" i="2"/>
  <c r="G31" i="2" s="1"/>
  <c r="J32" i="1"/>
  <c r="J433" i="1"/>
  <c r="F433" i="1"/>
  <c r="K433" i="1"/>
  <c r="G133" i="2" s="1"/>
  <c r="G143" i="2" s="1"/>
  <c r="G144" i="2" s="1"/>
  <c r="F31" i="13"/>
  <c r="F33" i="13" s="1"/>
  <c r="J192" i="1"/>
  <c r="G645" i="1" s="1"/>
  <c r="G168" i="1"/>
  <c r="G139" i="1"/>
  <c r="F139" i="1"/>
  <c r="G62" i="2"/>
  <c r="G42" i="2"/>
  <c r="G49" i="2" s="1"/>
  <c r="J50" i="1"/>
  <c r="G16" i="2"/>
  <c r="G18" i="2" s="1"/>
  <c r="J19" i="1"/>
  <c r="G620" i="1" s="1"/>
  <c r="F544" i="1"/>
  <c r="H433" i="1"/>
  <c r="J618" i="1"/>
  <c r="D102" i="2"/>
  <c r="I139" i="1"/>
  <c r="A22" i="12"/>
  <c r="J651" i="1"/>
  <c r="G570" i="1"/>
  <c r="I433" i="1"/>
  <c r="G433" i="1"/>
  <c r="I662" i="1"/>
  <c r="K551" i="1" l="1"/>
  <c r="L544" i="1"/>
  <c r="I460" i="1"/>
  <c r="H641" i="1" s="1"/>
  <c r="J641" i="1" s="1"/>
  <c r="J644" i="1"/>
  <c r="L407" i="1"/>
  <c r="G636" i="1" s="1"/>
  <c r="J636" i="1" s="1"/>
  <c r="C140" i="2"/>
  <c r="C143" i="2" s="1"/>
  <c r="G634" i="1"/>
  <c r="J634" i="1" s="1"/>
  <c r="H663" i="1"/>
  <c r="H666" i="1" s="1"/>
  <c r="I192" i="1"/>
  <c r="G629" i="1" s="1"/>
  <c r="J629" i="1" s="1"/>
  <c r="C39" i="10"/>
  <c r="H192" i="1"/>
  <c r="G628" i="1" s="1"/>
  <c r="J628" i="1" s="1"/>
  <c r="E103" i="2"/>
  <c r="F103" i="2"/>
  <c r="G103" i="2"/>
  <c r="G663" i="1"/>
  <c r="G666" i="1" s="1"/>
  <c r="I660" i="1"/>
  <c r="D103" i="2"/>
  <c r="C36" i="10"/>
  <c r="E50" i="2"/>
  <c r="E127" i="2"/>
  <c r="E144" i="2" s="1"/>
  <c r="F50" i="2"/>
  <c r="G50" i="2"/>
  <c r="E33" i="13"/>
  <c r="D35" i="13" s="1"/>
  <c r="H647" i="1"/>
  <c r="J647" i="1" s="1"/>
  <c r="L256" i="1"/>
  <c r="L270" i="1" s="1"/>
  <c r="C127" i="2"/>
  <c r="C114" i="2"/>
  <c r="F659" i="1"/>
  <c r="F663" i="1" s="1"/>
  <c r="F666" i="1" s="1"/>
  <c r="C28" i="10"/>
  <c r="D25" i="10" s="1"/>
  <c r="C103" i="2"/>
  <c r="D31" i="13"/>
  <c r="C31" i="13" s="1"/>
  <c r="F192" i="1"/>
  <c r="G630" i="1"/>
  <c r="J630" i="1" s="1"/>
  <c r="G192" i="1"/>
  <c r="G625" i="1"/>
  <c r="J625" i="1" s="1"/>
  <c r="J51" i="1"/>
  <c r="H620" i="1" s="1"/>
  <c r="J620" i="1" s="1"/>
  <c r="C38" i="10"/>
  <c r="G627" i="1" l="1"/>
  <c r="G467" i="1"/>
  <c r="H645" i="1"/>
  <c r="J645" i="1" s="1"/>
  <c r="G671" i="1"/>
  <c r="C5" i="10" s="1"/>
  <c r="H671" i="1"/>
  <c r="C6" i="10" s="1"/>
  <c r="G626" i="1"/>
  <c r="F467" i="1"/>
  <c r="G631" i="1"/>
  <c r="F471" i="1"/>
  <c r="D33" i="13"/>
  <c r="D36" i="13" s="1"/>
  <c r="C144" i="2"/>
  <c r="F671" i="1"/>
  <c r="C4" i="10" s="1"/>
  <c r="D27" i="10"/>
  <c r="D13" i="10"/>
  <c r="D17" i="10"/>
  <c r="D21" i="10"/>
  <c r="I659" i="1"/>
  <c r="I663" i="1" s="1"/>
  <c r="I671" i="1" s="1"/>
  <c r="C7" i="10" s="1"/>
  <c r="D12" i="10"/>
  <c r="D16" i="10"/>
  <c r="D19" i="10"/>
  <c r="D18" i="10"/>
  <c r="D22" i="10"/>
  <c r="D26" i="10"/>
  <c r="D11" i="10"/>
  <c r="D15" i="10"/>
  <c r="D24" i="10"/>
  <c r="D10" i="10"/>
  <c r="C30" i="10"/>
  <c r="D23" i="10"/>
  <c r="D20" i="10"/>
  <c r="C41" i="10"/>
  <c r="D38" i="10" s="1"/>
  <c r="H627" i="1" l="1"/>
  <c r="J627" i="1" s="1"/>
  <c r="G469" i="1"/>
  <c r="G475" i="1" s="1"/>
  <c r="H622" i="1" s="1"/>
  <c r="J622" i="1" s="1"/>
  <c r="F469" i="1"/>
  <c r="H626" i="1"/>
  <c r="J626" i="1" s="1"/>
  <c r="F473" i="1"/>
  <c r="H631" i="1"/>
  <c r="J631" i="1" s="1"/>
  <c r="I666" i="1"/>
  <c r="D28" i="10"/>
  <c r="D37" i="10"/>
  <c r="D36" i="10"/>
  <c r="D35" i="10"/>
  <c r="D40" i="10"/>
  <c r="D39" i="10"/>
  <c r="F475" i="1" l="1"/>
  <c r="H621" i="1" s="1"/>
  <c r="H655" i="1" s="1"/>
  <c r="D41" i="10"/>
  <c r="J621" i="1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<sst xmlns="http://schemas.openxmlformats.org/spreadsheetml/2006/main" count="3948" uniqueCount="912">
  <si>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</si>
  <si>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</si>
  <si>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</si>
  <si>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</si>
  <si>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</si>
  <si>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</si>
  <si>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</si>
  <si>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</si>
  <si>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</si>
  <si>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</si>
  <si>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</si>
  <si>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</si>
  <si>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</si>
  <si>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</si>
  <si>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</si>
  <si>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</si>
  <si>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</si>
  <si>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</si>
  <si>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</si>
  <si>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</si>
  <si>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</si>
  <si>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</si>
  <si>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</si>
  <si>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</si>
  <si>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</si>
  <si>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</si>
  <si>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</si>
  <si>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</si>
  <si>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</si>
  <si>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</si>
  <si>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</si>
  <si>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</si>
  <si>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</si>
  <si>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</si>
  <si>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</si>
  <si>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</si>
  <si>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</si>
  <si>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</si>
  <si>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</si>
  <si>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</si>
  <si>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</si>
  <si>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</si>
  <si>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</si>
  <si>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</si>
  <si>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</si>
  <si>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</si>
  <si>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</si>
  <si>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</si>
  <si>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</si>
  <si>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</si>
  <si>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</si>
  <si>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</si>
  <si>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</si>
  <si>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</si>
  <si>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</si>
  <si>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</si>
  <si>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</si>
  <si>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</si>
  <si>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</si>
  <si>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</si>
  <si>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</si>
  <si>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</si>
  <si>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</si>
  <si>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</si>
  <si>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</si>
  <si>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</si>
  <si>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</si>
  <si>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</si>
  <si>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</si>
  <si>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</si>
  <si>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</si>
  <si>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</si>
  <si>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</si>
  <si>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</si>
  <si>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</si>
  <si>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</si>
  <si>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</si>
  <si>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</si>
  <si>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</si>
  <si>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</si>
  <si>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</si>
  <si>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</si>
  <si>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</si>
  <si>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</si>
  <si>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</si>
  <si>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</si>
  <si>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</si>
  <si>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</si>
  <si>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</si>
  <si>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</si>
  <si>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</si>
  <si>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</si>
  <si>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</si>
  <si>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</si>
  <si>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</si>
  <si>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</si>
  <si>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</si>
  <si>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</si>
  <si>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</si>
  <si>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</si>
  <si>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</si>
  <si>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</si>
  <si>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</si>
  <si>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</si>
  <si>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</si>
  <si>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</si>
  <si>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</si>
  <si>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</si>
  <si>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</si>
  <si>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</si>
  <si>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</si>
  <si>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</si>
  <si>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</si>
  <si>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</si>
  <si>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</si>
  <si>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</si>
  <si>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</si>
  <si>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</si>
  <si>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</si>
  <si>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</si>
  <si>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</si>
  <si>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</si>
  <si>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</si>
  <si>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</si>
  <si>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</si>
  <si>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</si>
  <si>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</si>
  <si>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</si>
  <si>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</si>
  <si>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</si>
  <si>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</si>
  <si>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</si>
  <si>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</si>
  <si>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</si>
  <si>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</si>
  <si>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</si>
  <si>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</si>
  <si>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</si>
  <si>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</si>
  <si>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</si>
  <si>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</si>
  <si>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</si>
  <si>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</si>
  <si>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</si>
  <si>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</si>
  <si>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</si>
  <si>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</si>
  <si>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</si>
  <si>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</si>
  <si>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</si>
  <si>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</si>
  <si>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</si>
  <si>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</si>
  <si>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</si>
  <si>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</si>
  <si>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</si>
  <si>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</si>
  <si>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</si>
  <si>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</si>
  <si>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</si>
  <si>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</si>
  <si>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</si>
  <si>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</si>
  <si>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</si>
  <si>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</si>
  <si>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</si>
  <si>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</si>
  <si>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</si>
  <si>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</si>
  <si>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</si>
  <si>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</si>
  <si>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</si>
  <si>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</si>
  <si>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</si>
  <si>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</si>
  <si>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</si>
  <si>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</si>
  <si>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</si>
  <si>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</si>
  <si>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</si>
  <si>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</si>
  <si>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</si>
  <si>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</si>
  <si>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</si>
  <si>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</si>
  <si>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</si>
  <si>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</si>
  <si>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</si>
  <si>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</si>
  <si>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</si>
  <si>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</si>
  <si>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</si>
  <si>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</si>
  <si>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</si>
  <si>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</si>
  <si>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</si>
  <si>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</si>
  <si>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</si>
  <si>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</si>
  <si>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</si>
  <si>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</si>
  <si>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</si>
  <si>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</si>
  <si>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</si>
  <si>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</si>
  <si>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</si>
  <si>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</si>
  <si>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</si>
  <si>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</si>
  <si>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</si>
  <si>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</si>
  <si>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</si>
  <si>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</si>
  <si>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</si>
  <si>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</si>
  <si>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</si>
  <si>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</si>
  <si>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</si>
  <si>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</si>
  <si>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</si>
  <si>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</si>
  <si>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</si>
  <si>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</si>
  <si>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</si>
  <si>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</si>
  <si>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</si>
  <si>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</si>
  <si>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</si>
  <si>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</si>
  <si>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</si>
  <si>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</si>
  <si>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</si>
  <si>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</si>
  <si>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</si>
  <si>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</si>
  <si>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</si>
  <si>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</si>
  <si>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</si>
  <si>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</si>
  <si>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</si>
  <si>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</si>
  <si>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</si>
  <si>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</si>
  <si>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</si>
  <si>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</si>
  <si>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</si>
  <si>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</si>
  <si>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</si>
  <si>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</si>
  <si>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</si>
  <si>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</si>
  <si>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</si>
  <si>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</si>
  <si>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</si>
  <si>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</si>
  <si>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</si>
  <si>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</si>
  <si>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</si>
  <si>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</si>
  <si>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</si>
  <si>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</si>
  <si>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</si>
  <si>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</si>
  <si>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</si>
  <si>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</si>
  <si>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</si>
  <si>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</si>
  <si>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</si>
  <si>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</si>
  <si>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</si>
  <si>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</si>
  <si>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</si>
  <si>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</si>
  <si>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</si>
  <si>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</si>
  <si>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</si>
  <si>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</si>
  <si>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</si>
  <si>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</si>
  <si>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</si>
  <si>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</si>
  <si>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</si>
  <si>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</si>
  <si>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</si>
  <si>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</si>
  <si>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</si>
  <si>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</si>
  <si>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</si>
  <si>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</si>
  <si>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</si>
  <si>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</si>
  <si>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</si>
  <si>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</si>
  <si>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</si>
  <si>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</si>
  <si>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</si>
  <si>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</si>
  <si>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</si>
  <si>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</si>
  <si>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</si>
  <si>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</si>
  <si>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</si>
  <si>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</si>
  <si>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</si>
  <si>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</si>
  <si>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</si>
  <si>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</si>
  <si>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</si>
  <si>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</si>
  <si>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</si>
  <si>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</si>
  <si>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</si>
  <si>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</si>
  <si>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</si>
  <si>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</si>
  <si>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</si>
  <si>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</si>
  <si>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</si>
  <si>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</si>
  <si>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</si>
  <si>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</si>
  <si>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</si>
  <si>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</si>
  <si>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</si>
  <si>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</si>
  <si>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</si>
  <si>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</si>
  <si>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</si>
  <si>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</si>
  <si>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</si>
  <si>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</si>
  <si>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</si>
  <si>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</si>
  <si>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</si>
  <si>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</si>
  <si>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</si>
  <si>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</si>
  <si>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</si>
  <si>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</si>
  <si>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</si>
  <si>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</si>
  <si>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</si>
  <si>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</si>
  <si>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</si>
  <si>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</si>
  <si>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</si>
  <si>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</si>
  <si>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</si>
  <si>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</si>
  <si>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</si>
  <si>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</si>
  <si>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</si>
  <si>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</si>
  <si>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</si>
  <si>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</si>
  <si>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</si>
  <si>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</si>
  <si>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</si>
  <si>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</si>
  <si>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</si>
  <si>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</si>
  <si>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</si>
  <si>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</si>
  <si>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</si>
  <si>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</si>
  <si>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</si>
  <si>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</si>
  <si>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</si>
  <si>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</si>
  <si>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</si>
  <si>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</si>
  <si>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</si>
  <si>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</si>
  <si>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</si>
  <si>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</si>
  <si>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</si>
  <si>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</si>
  <si>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</si>
  <si>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</si>
  <si>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</si>
  <si>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</si>
  <si>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</si>
  <si>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</si>
  <si>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</si>
  <si>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</si>
  <si>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</si>
  <si>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</si>
  <si>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</si>
  <si>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</si>
  <si>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</si>
  <si>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</si>
  <si>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</si>
  <si>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</si>
  <si>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</si>
  <si>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</si>
  <si>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</si>
  <si>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</si>
  <si>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</si>
  <si>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</si>
  <si>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</si>
  <si>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</si>
  <si>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</si>
  <si>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</si>
  <si>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</si>
  <si>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</si>
  <si>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</si>
  <si>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</si>
  <si>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</si>
  <si>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</si>
  <si>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</si>
  <si>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</si>
  <si>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</si>
  <si>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</si>
  <si>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</si>
  <si>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</si>
  <si>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</si>
  <si>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</si>
  <si>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</si>
  <si>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</si>
  <si>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</si>
  <si>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</si>
  <si>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</si>
  <si>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</si>
  <si>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</si>
  <si>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</si>
  <si>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</si>
  <si>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</si>
  <si>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</si>
  <si>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</si>
  <si>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</si>
  <si>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</si>
  <si>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</si>
  <si>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</si>
  <si>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</si>
  <si>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</si>
  <si>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</si>
  <si>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</si>
  <si>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</si>
  <si>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</si>
  <si>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</si>
  <si>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</si>
  <si>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</si>
  <si>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</si>
  <si>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</si>
  <si>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</si>
  <si>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</si>
  <si>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</si>
  <si>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</si>
  <si>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</si>
  <si>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</si>
  <si>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</si>
  <si>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</si>
  <si>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</si>
  <si>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</si>
  <si>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</si>
  <si>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</si>
  <si>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</si>
  <si>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</si>
  <si>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</si>
  <si>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</si>
  <si>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</si>
  <si>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</si>
  <si>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</si>
  <si>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</si>
  <si>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</si>
  <si>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</si>
  <si>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</si>
  <si>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</si>
  <si>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</si>
  <si>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</si>
  <si>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</si>
  <si>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</si>
  <si>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</si>
  <si>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</si>
  <si>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</si>
  <si>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</si>
  <si>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</si>
  <si>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</si>
  <si>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</si>
  <si>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</si>
  <si>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</si>
  <si>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</si>
  <si>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</si>
  <si>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</si>
  <si>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</si>
  <si>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</si>
  <si>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</si>
  <si>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</si>
  <si>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</si>
  <si>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</si>
  <si>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</si>
  <si>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</si>
  <si>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</si>
  <si>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</si>
  <si>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</si>
  <si>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</si>
  <si>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</si>
  <si>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</si>
  <si>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</si>
  <si>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</si>
  <si>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</si>
  <si>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</si>
  <si>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</si>
  <si>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</si>
  <si>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</si>
  <si>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</si>
  <si>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</si>
  <si>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</si>
  <si>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</si>
  <si>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</si>
  <si>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</si>
  <si>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</si>
  <si>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</si>
  <si>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</si>
  <si>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</si>
  <si>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</si>
  <si>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</si>
  <si>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</si>
  <si>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</si>
  <si>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</si>
  <si>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</si>
  <si>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</si>
  <si>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</si>
  <si>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</si>
  <si>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</si>
  <si>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</si>
  <si>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</si>
  <si>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</si>
  <si>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</si>
  <si>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</si>
  <si>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</si>
  <si>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</si>
  <si>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</si>
  <si>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</si>
  <si>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</si>
  <si>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</si>
  <si>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</si>
  <si>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</si>
  <si>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</si>
  <si>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</si>
  <si>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</si>
  <si>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</si>
  <si>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</si>
  <si>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</si>
  <si>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</si>
  <si>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</si>
  <si>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</si>
  <si>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</si>
  <si>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</si>
  <si>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</si>
  <si>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</si>
  <si>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</si>
  <si>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</si>
  <si>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</si>
  <si>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</si>
  <si>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</si>
  <si>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</si>
  <si>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</si>
  <si>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</si>
  <si>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</si>
  <si>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</si>
  <si>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</si>
  <si>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</si>
  <si>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</si>
  <si>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</si>
  <si>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</si>
  <si>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</si>
  <si>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</si>
  <si>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</si>
  <si>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</si>
  <si>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</si>
  <si>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</si>
  <si>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</si>
  <si>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</si>
  <si>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</si>
  <si>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</si>
  <si>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</si>
  <si>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</si>
  <si>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</si>
  <si>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</si>
  <si>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</si>
  <si>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</si>
  <si>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</si>
  <si>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</si>
  <si>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</si>
  <si>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</si>
  <si>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</si>
  <si>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</si>
  <si>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</si>
  <si>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</si>
  <si>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</si>
  <si>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</si>
  <si>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</si>
  <si>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</si>
  <si>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</si>
  <si>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</si>
  <si>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</si>
  <si>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</si>
  <si>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</si>
  <si>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</si>
  <si>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</si>
  <si>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</si>
  <si>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</si>
  <si>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</si>
  <si>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</si>
  <si>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</si>
  <si>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</si>
  <si>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</si>
  <si>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</si>
  <si>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</si>
  <si>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</si>
  <si>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</si>
  <si>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</si>
  <si>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</si>
  <si>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</si>
  <si>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</si>
  <si>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</si>
  <si>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</si>
  <si>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</si>
  <si>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</si>
  <si>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</si>
  <si>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</si>
  <si>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</si>
  <si>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</si>
  <si>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</si>
  <si>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</si>
  <si>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</si>
  <si>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</si>
  <si>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</si>
  <si>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</si>
  <si>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</si>
  <si>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</si>
  <si>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</si>
  <si>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</si>
  <si>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</si>
  <si>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</si>
  <si>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</si>
  <si>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</si>
  <si>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</si>
  <si>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</si>
  <si>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</si>
  <si>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</si>
  <si>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</si>
  <si>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</si>
  <si>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</si>
  <si>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</si>
  <si>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</si>
  <si>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</si>
  <si>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</si>
  <si>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</si>
  <si>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</si>
  <si>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</si>
  <si>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</si>
  <si>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</si>
  <si>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</si>
  <si>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</si>
  <si>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</si>
  <si>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</si>
  <si>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</si>
  <si>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</si>
  <si>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</si>
  <si>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</si>
  <si>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</si>
  <si>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</si>
  <si>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</si>
  <si>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</si>
  <si>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</si>
  <si>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</si>
  <si>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</si>
  <si>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</si>
  <si>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</si>
  <si>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</si>
  <si>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</si>
  <si>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</si>
  <si>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</si>
  <si>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</si>
  <si>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</si>
  <si>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</si>
  <si>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</si>
  <si>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</si>
  <si>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</si>
  <si>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</si>
  <si>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</si>
  <si>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</si>
  <si>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</si>
  <si>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</si>
  <si>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</si>
  <si>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</si>
  <si>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</si>
  <si>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</si>
  <si>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</si>
  <si>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</si>
  <si>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</si>
  <si>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</si>
  <si>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</si>
  <si>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</si>
  <si>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</si>
  <si>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</si>
  <si>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</si>
  <si>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</si>
  <si>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</si>
  <si>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</si>
  <si>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</si>
  <si>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</si>
  <si>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</si>
  <si>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</si>
  <si>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</si>
  <si>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</si>
  <si>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</si>
  <si>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</si>
  <si>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</si>
  <si>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</si>
  <si>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</si>
  <si>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</si>
  <si>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</si>
  <si>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</si>
  <si>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</si>
  <si>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</si>
  <si>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</si>
  <si>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</si>
  <si>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</si>
  <si>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</si>
  <si>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</si>
  <si>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</si>
  <si>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</si>
  <si>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</si>
  <si>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</si>
  <si>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</si>
  <si>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</si>
  <si>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</si>
  <si>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</si>
  <si>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</si>
  <si>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</si>
  <si>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</si>
  <si>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</si>
  <si>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</si>
  <si>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</si>
  <si>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</si>
  <si>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</si>
  <si>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</si>
  <si>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</si>
  <si>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</si>
  <si>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</si>
  <si>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</si>
  <si>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</si>
  <si>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</si>
  <si>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</si>
  <si>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</si>
  <si>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</si>
  <si>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</si>
  <si>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</si>
  <si>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</si>
  <si>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</si>
  <si>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</si>
  <si>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</si>
  <si>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</si>
  <si>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</si>
  <si>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</si>
  <si>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</si>
  <si>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</si>
  <si>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</si>
  <si>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</si>
  <si>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</si>
  <si>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</si>
  <si>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</si>
  <si>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</si>
  <si>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</si>
  <si>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</si>
  <si>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</si>
  <si>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</si>
  <si>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</si>
  <si>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</si>
  <si>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</si>
  <si>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</si>
  <si>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</si>
  <si>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</si>
  <si>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</si>
  <si>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</si>
  <si>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</si>
  <si>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</si>
  <si>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</si>
  <si>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</si>
  <si>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</si>
  <si>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</si>
  <si>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</si>
  <si>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</si>
  <si>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</si>
  <si>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</si>
  <si>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</si>
  <si>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</si>
  <si>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</si>
  <si>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</si>
  <si>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</si>
  <si>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</si>
  <si>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</si>
  <si>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</si>
  <si>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</si>
  <si>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</si>
  <si>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</si>
  <si>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</si>
  <si>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</si>
  <si>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</si>
  <si>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</si>
  <si>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</si>
  <si>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</si>
  <si>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</si>
  <si>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</si>
  <si>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</si>
  <si>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</si>
  <si>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</si>
  <si>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</si>
  <si>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</si>
  <si>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</si>
  <si>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</si>
  <si>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</si>
  <si>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</si>
  <si>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</si>
  <si>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</si>
  <si>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</si>
  <si>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</si>
  <si>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</si>
  <si>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</si>
  <si>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</si>
  <si>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</si>
  <si>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</si>
  <si>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</si>
  <si>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</si>
  <si>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</si>
  <si>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</si>
  <si>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</si>
  <si>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</si>
  <si>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</si>
  <si>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</si>
  <si>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</si>
  <si>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</si>
  <si>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</si>
  <si>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</si>
  <si>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</si>
  <si>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</si>
  <si>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</si>
  <si>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</si>
  <si>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</si>
  <si>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</si>
  <si>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</si>
  <si>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</si>
  <si>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</si>
  <si>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</si>
  <si>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</si>
  <si>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</si>
  <si>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</si>
  <si>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</si>
  <si>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</si>
  <si>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</si>
  <si>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</si>
  <si>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</si>
  <si>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</si>
  <si>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</si>
  <si>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</si>
  <si>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</si>
  <si>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</si>
  <si>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</si>
  <si>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</si>
  <si>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</si>
  <si>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</si>
  <si>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</si>
  <si>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</si>
  <si>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</si>
  <si>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</si>
  <si>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</si>
  <si>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</si>
  <si>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</si>
  <si>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</si>
  <si>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</si>
  <si>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</si>
  <si>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</si>
  <si>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</si>
  <si>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</si>
  <si>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</si>
  <si>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</si>
  <si>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</si>
  <si>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</si>
  <si>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</si>
  <si>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</si>
  <si>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</si>
  <si>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</si>
  <si>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</si>
  <si>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</si>
  <si>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</si>
  <si>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</si>
  <si>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</si>
  <si>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</si>
  <si>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</si>
  <si>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</si>
  <si>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</si>
  <si>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</si>
  <si>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</si>
  <si>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</si>
  <si>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</si>
  <si>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</si>
  <si>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</si>
  <si>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</si>
  <si>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</si>
  <si>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</si>
  <si>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</si>
  <si>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</si>
  <si>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</si>
  <si>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</si>
  <si>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</si>
  <si>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</si>
  <si>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02/98</t>
  </si>
  <si>
    <t>08/12</t>
  </si>
  <si>
    <t>SAU# 64 - Wakefield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</si>
</sst>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G664" sqref="G66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5" t="s">
        <v>911</v>
      </c>
      <c r="B2" s="21">
        <v>543</v>
      </c>
      <c r="C2" s="21">
        <v>543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500177.45+107.28</f>
        <v>500284.73000000004</v>
      </c>
      <c r="G9" s="18">
        <v>975</v>
      </c>
      <c r="H9" s="18">
        <v>0</v>
      </c>
      <c r="I9" s="18">
        <v>0</v>
      </c>
      <c r="J9" s="67">
        <f>SUM(I438)</f>
        <v>0</v>
      </c>
      <c r="K9" s="24" t="s">
        <v>289</v>
      </c>
      <c r="L9" s="24" t="s">
        <v>289</v>
      </c>
      <c r="M9" s="8"/>
      <c r="N9" s="271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SUM(I439)</f>
        <v>0</v>
      </c>
      <c r="K10" s="24" t="s">
        <v>289</v>
      </c>
      <c r="L10" s="24" t="s">
        <v>289</v>
      </c>
      <c r="M10" s="8"/>
      <c r="N10" s="271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1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58847.66</v>
      </c>
      <c r="G12" s="18">
        <f>13901.47</f>
        <v>13901.47</v>
      </c>
      <c r="H12" s="18">
        <v>0</v>
      </c>
      <c r="I12" s="18">
        <v>0</v>
      </c>
      <c r="J12" s="67">
        <f>SUM(I440)</f>
        <v>175961.73</v>
      </c>
      <c r="K12" s="24" t="s">
        <v>289</v>
      </c>
      <c r="L12" s="24" t="s">
        <v>289</v>
      </c>
      <c r="M12" s="8"/>
      <c r="N12" s="271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8301.01</v>
      </c>
      <c r="H13" s="18">
        <v>69700.87</v>
      </c>
      <c r="I13" s="18">
        <v>0</v>
      </c>
      <c r="J13" s="67">
        <f>SUM(I441)</f>
        <v>0</v>
      </c>
      <c r="K13" s="24" t="s">
        <v>289</v>
      </c>
      <c r="L13" s="24" t="s">
        <v>289</v>
      </c>
      <c r="M13" s="8"/>
      <c r="N13" s="271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286131.71000000002</v>
      </c>
      <c r="G14" s="18">
        <v>0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  <c r="N14" s="271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1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1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  <c r="N17" s="271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  <c r="N18" s="271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845264.10000000009</v>
      </c>
      <c r="G19" s="41">
        <f>SUM(G9:G18)</f>
        <v>23177.48</v>
      </c>
      <c r="H19" s="41">
        <f>SUM(H9:H18)</f>
        <v>69700.87</v>
      </c>
      <c r="I19" s="41">
        <f>SUM(I9:I18)</f>
        <v>0</v>
      </c>
      <c r="J19" s="41">
        <f>SUM(J9:J18)</f>
        <v>175961.73</v>
      </c>
      <c r="K19" s="45" t="s">
        <v>289</v>
      </c>
      <c r="L19" s="45" t="s">
        <v>289</v>
      </c>
      <c r="M19" s="8"/>
      <c r="N19" s="271"/>
    </row>
    <row r="20" spans="1:14" s="3" customFormat="1" ht="12" customHeight="1" x14ac:dyDescent="0.15">
      <c r="A20" s="1" t="s">
        <v>455</v>
      </c>
      <c r="C20" s="158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1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722.36</v>
      </c>
      <c r="H22" s="18">
        <v>69700.87</v>
      </c>
      <c r="I22" s="18">
        <v>0</v>
      </c>
      <c r="J22" s="67">
        <f>SUM(I447)</f>
        <v>0</v>
      </c>
      <c r="K22" s="24" t="s">
        <v>289</v>
      </c>
      <c r="L22" s="24" t="s">
        <v>289</v>
      </c>
      <c r="M22" s="8"/>
      <c r="N22" s="271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7286.31</v>
      </c>
      <c r="H23" s="18">
        <v>0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  <c r="N23" s="271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74355.960000000006</v>
      </c>
      <c r="G24" s="18">
        <f>2691.51+44.07+12184.95+248.27+0.01</f>
        <v>15168.810000000001</v>
      </c>
      <c r="H24" s="18">
        <v>0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  <c r="N24" s="271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1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1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1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1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1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1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32.14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  <c r="N31" s="271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74388.100000000006</v>
      </c>
      <c r="G32" s="41">
        <f>SUM(G22:G31)</f>
        <v>23177.480000000003</v>
      </c>
      <c r="H32" s="41">
        <f>SUM(H22:H31)</f>
        <v>69700.87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1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1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1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1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1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  <c r="N37" s="271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1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  <c r="N39" s="271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1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71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1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  <c r="N43" s="271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1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  <c r="N45" s="271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1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0</v>
      </c>
      <c r="H47" s="18">
        <v>0</v>
      </c>
      <c r="I47" s="18">
        <v>0</v>
      </c>
      <c r="J47" s="13">
        <f>SUM(I458)</f>
        <v>175961.73</v>
      </c>
      <c r="K47" s="24" t="s">
        <v>289</v>
      </c>
      <c r="L47" s="24" t="s">
        <v>289</v>
      </c>
      <c r="M47" s="8"/>
      <c r="N47" s="271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>
        <v>0</v>
      </c>
      <c r="H48" s="18">
        <v>0</v>
      </c>
      <c r="I48" s="18">
        <v>0</v>
      </c>
      <c r="J48" s="13">
        <f>I453</f>
        <v>0</v>
      </c>
      <c r="K48" s="24"/>
      <c r="L48" s="24"/>
      <c r="M48" s="8"/>
      <c r="N48" s="271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245566.37+425309.63</f>
        <v>670876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1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770876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175961.73</v>
      </c>
      <c r="K50" s="45" t="s">
        <v>289</v>
      </c>
      <c r="L50" s="45" t="s">
        <v>289</v>
      </c>
      <c r="N50" s="269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845264.1</v>
      </c>
      <c r="G51" s="41">
        <f>G50+G32</f>
        <v>23177.480000000003</v>
      </c>
      <c r="H51" s="41">
        <f>H50+H32</f>
        <v>69700.87</v>
      </c>
      <c r="I51" s="41">
        <f>I50+I32</f>
        <v>0</v>
      </c>
      <c r="J51" s="41">
        <f>J50+J32</f>
        <v>175961.73</v>
      </c>
      <c r="K51" s="45" t="s">
        <v>289</v>
      </c>
      <c r="L51" s="45" t="s">
        <v>289</v>
      </c>
      <c r="M51" s="8"/>
      <c r="N51" s="271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1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1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1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1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5413013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  <c r="N56" s="271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  <c r="N57" s="271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24" t="s">
        <v>289</v>
      </c>
      <c r="L58" s="24" t="s">
        <v>289</v>
      </c>
      <c r="M58" s="31"/>
      <c r="N58" s="272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5413013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2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1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1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0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1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1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2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1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1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1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1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1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1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1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1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1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1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1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1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N77" s="269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1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1"/>
    </row>
    <row r="80" spans="1:14" s="3" customFormat="1" ht="12" customHeight="1" x14ac:dyDescent="0.2">
      <c r="A80" s="169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1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1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1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1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1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1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1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1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1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1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1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1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1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1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1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24" t="s">
        <v>289</v>
      </c>
      <c r="L95" s="24" t="s">
        <v>289</v>
      </c>
      <c r="M95" s="8"/>
      <c r="N95" s="271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41032.03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1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1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1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1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0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  <c r="N100" s="271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24" t="s">
        <v>289</v>
      </c>
      <c r="L101" s="24" t="s">
        <v>289</v>
      </c>
      <c r="M101" s="8"/>
      <c r="N101" s="271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1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1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1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1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  <c r="N106" s="271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1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1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911+54362.74</f>
        <v>55273.74</v>
      </c>
      <c r="G109" s="18">
        <v>0</v>
      </c>
      <c r="H109" s="18">
        <v>0</v>
      </c>
      <c r="I109" s="18">
        <v>0</v>
      </c>
      <c r="J109" s="18">
        <v>0</v>
      </c>
      <c r="K109" s="24" t="s">
        <v>289</v>
      </c>
      <c r="L109" s="24" t="s">
        <v>289</v>
      </c>
      <c r="M109" s="8"/>
      <c r="N109" s="271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55273.74</v>
      </c>
      <c r="G110" s="41">
        <f>SUM(G95:G109)</f>
        <v>41032.03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269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5468286.7400000002</v>
      </c>
      <c r="G111" s="41">
        <f>G59+G110</f>
        <v>41032.03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1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1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1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1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1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1448184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1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2097160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1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1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24" t="s">
        <v>289</v>
      </c>
      <c r="L119" s="24" t="s">
        <v>289</v>
      </c>
      <c r="M119" s="8"/>
      <c r="N119" s="271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3545344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1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1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51063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  <c r="N122" s="271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  <c r="N123" s="271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1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16584.36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1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1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1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1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1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1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0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1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1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  <c r="N133" s="271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24" t="s">
        <v>289</v>
      </c>
      <c r="L134" s="24" t="s">
        <v>289</v>
      </c>
      <c r="M134" s="8"/>
      <c r="N134" s="271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67647.360000000001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1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1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1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1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3612991.36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1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1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1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3" t="s">
        <v>772</v>
      </c>
      <c r="I142" s="16" t="s">
        <v>284</v>
      </c>
      <c r="J142" s="16" t="s">
        <v>285</v>
      </c>
      <c r="K142" s="20"/>
      <c r="L142" s="20"/>
      <c r="M142" s="8"/>
      <c r="N142" s="271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1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  <c r="N144" s="271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1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1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1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1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  <c r="N149" s="271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1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1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1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826.64+176701.39</f>
        <v>177528.03000000003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1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2870.29</f>
        <v>2870.29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1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f>5737.71+2222.96+22521.32+19680.73</f>
        <v>50162.720000000001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1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1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88934.96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1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0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1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84034.33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1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13059.84</v>
      </c>
      <c r="H160" s="18">
        <v>0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  <c r="N160" s="271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84034.33</v>
      </c>
      <c r="G161" s="41">
        <f>SUM(G149:G160)</f>
        <v>101994.8</v>
      </c>
      <c r="H161" s="41">
        <f>SUM(H149:H160)</f>
        <v>230561.04000000004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1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  <c r="N162" s="271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1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0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1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1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1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1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84034.33</v>
      </c>
      <c r="G168" s="41">
        <f>G146+G161+SUM(G162:G167)</f>
        <v>101994.8</v>
      </c>
      <c r="H168" s="41">
        <f>H146+H161+SUM(H162:H167)</f>
        <v>230561.04000000004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1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1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1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3" t="s">
        <v>772</v>
      </c>
      <c r="I171" s="16" t="s">
        <v>284</v>
      </c>
      <c r="J171" s="16" t="s">
        <v>285</v>
      </c>
      <c r="K171" s="20"/>
      <c r="L171" s="20"/>
      <c r="M171" s="8"/>
      <c r="N171" s="271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  <c r="N172" s="271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1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1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1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1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1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17793.599999999999</v>
      </c>
      <c r="H178" s="18">
        <v>0</v>
      </c>
      <c r="I178" s="18">
        <v>0</v>
      </c>
      <c r="J178" s="18">
        <f>132700+117000</f>
        <v>249700</v>
      </c>
      <c r="K178" s="24" t="s">
        <v>289</v>
      </c>
      <c r="L178" s="24" t="s">
        <v>289</v>
      </c>
      <c r="M178" s="8"/>
      <c r="N178" s="271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71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1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  <c r="N181" s="271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17793.599999999999</v>
      </c>
      <c r="H182" s="41">
        <f>SUM(H178:H181)</f>
        <v>0</v>
      </c>
      <c r="I182" s="41">
        <f>SUM(I178:I181)</f>
        <v>0</v>
      </c>
      <c r="J182" s="41">
        <f>SUM(J178:J181)</f>
        <v>249700</v>
      </c>
      <c r="K182" s="45" t="s">
        <v>289</v>
      </c>
      <c r="L182" s="45" t="s">
        <v>289</v>
      </c>
      <c r="M182" s="8"/>
      <c r="N182" s="271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1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  <c r="N184" s="271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1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N186" s="269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69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  <c r="N188" s="271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1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1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5" t="s">
        <v>431</v>
      </c>
      <c r="E191" s="51">
        <v>5000</v>
      </c>
      <c r="F191" s="41">
        <f>F176+F182+SUM(F187:F190)</f>
        <v>0</v>
      </c>
      <c r="G191" s="41">
        <f>G182+SUM(G187:G190)</f>
        <v>17793.599999999999</v>
      </c>
      <c r="H191" s="41">
        <f>+H182+SUM(H187:H190)</f>
        <v>0</v>
      </c>
      <c r="I191" s="41">
        <f>I176+I182+SUM(I187:I190)</f>
        <v>0</v>
      </c>
      <c r="J191" s="41">
        <f>J182</f>
        <v>249700</v>
      </c>
      <c r="K191" s="45" t="s">
        <v>289</v>
      </c>
      <c r="L191" s="45" t="s">
        <v>289</v>
      </c>
      <c r="M191" s="8"/>
      <c r="N191" s="271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6" t="s">
        <v>431</v>
      </c>
      <c r="E192" s="44"/>
      <c r="F192" s="47">
        <f>F111+F139+F168+F191</f>
        <v>9165312.4299999997</v>
      </c>
      <c r="G192" s="47">
        <f>G111+G139+G168+G191</f>
        <v>160820.43000000002</v>
      </c>
      <c r="H192" s="47">
        <f>H111+H139+H168+H191</f>
        <v>230561.04000000004</v>
      </c>
      <c r="I192" s="47">
        <f>I111+I139+I168+I191</f>
        <v>0</v>
      </c>
      <c r="J192" s="47">
        <f>J111+J139+J191</f>
        <v>249700</v>
      </c>
      <c r="K192" s="45" t="s">
        <v>289</v>
      </c>
      <c r="L192" s="45" t="s">
        <v>289</v>
      </c>
      <c r="M192" s="8"/>
      <c r="N192" s="271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6" t="s">
        <v>693</v>
      </c>
      <c r="G193" s="176" t="s">
        <v>694</v>
      </c>
      <c r="H193" s="176" t="s">
        <v>695</v>
      </c>
      <c r="I193" s="176" t="s">
        <v>696</v>
      </c>
      <c r="J193" s="176" t="s">
        <v>697</v>
      </c>
      <c r="K193" s="176" t="s">
        <v>698</v>
      </c>
      <c r="L193" s="56"/>
      <c r="M193" s="8"/>
      <c r="N193" s="271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1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1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1462650.55</v>
      </c>
      <c r="G196" s="18">
        <v>721579.68</v>
      </c>
      <c r="H196" s="18">
        <v>0</v>
      </c>
      <c r="I196" s="18">
        <v>79240.160000000003</v>
      </c>
      <c r="J196" s="18">
        <v>17785.47</v>
      </c>
      <c r="K196" s="18">
        <v>358</v>
      </c>
      <c r="L196" s="19">
        <f>SUM(F196:K196)</f>
        <v>2281613.8600000003</v>
      </c>
      <c r="M196" s="8"/>
      <c r="N196" s="271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647015.61</v>
      </c>
      <c r="G197" s="18">
        <v>196465.17</v>
      </c>
      <c r="H197" s="18">
        <v>628091.80000000005</v>
      </c>
      <c r="I197" s="18">
        <v>2439.13</v>
      </c>
      <c r="J197" s="18">
        <v>372.85</v>
      </c>
      <c r="K197" s="18">
        <v>0</v>
      </c>
      <c r="L197" s="19">
        <f>SUM(F197:K197)</f>
        <v>1474384.56</v>
      </c>
      <c r="M197" s="8"/>
      <c r="N197" s="271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71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24134.3</v>
      </c>
      <c r="G199" s="18">
        <v>3739.48</v>
      </c>
      <c r="H199" s="18">
        <v>14474.37</v>
      </c>
      <c r="I199" s="18">
        <v>500.85</v>
      </c>
      <c r="J199" s="18">
        <v>0</v>
      </c>
      <c r="K199" s="18">
        <v>122.5</v>
      </c>
      <c r="L199" s="19">
        <f>SUM(F199:K199)</f>
        <v>42971.5</v>
      </c>
      <c r="M199" s="8"/>
      <c r="N199" s="271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1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172636.29</v>
      </c>
      <c r="G201" s="18">
        <v>46367.26</v>
      </c>
      <c r="H201" s="18">
        <v>5753.24</v>
      </c>
      <c r="I201" s="18">
        <v>1783.01</v>
      </c>
      <c r="J201" s="18">
        <v>0</v>
      </c>
      <c r="K201" s="18">
        <v>209</v>
      </c>
      <c r="L201" s="19">
        <f t="shared" ref="L201:L207" si="0">SUM(F201:K201)</f>
        <v>226748.80000000002</v>
      </c>
      <c r="M201" s="8"/>
      <c r="N201" s="271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42427</v>
      </c>
      <c r="G202" s="18">
        <v>28627.989999999998</v>
      </c>
      <c r="H202" s="18">
        <v>15725.77</v>
      </c>
      <c r="I202" s="18">
        <v>11155.57</v>
      </c>
      <c r="J202" s="18">
        <v>5111.41</v>
      </c>
      <c r="K202" s="18">
        <v>0</v>
      </c>
      <c r="L202" s="19">
        <f t="shared" si="0"/>
        <v>103047.73999999999</v>
      </c>
      <c r="M202" s="8"/>
      <c r="N202" s="271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10720.91</v>
      </c>
      <c r="G203" s="18">
        <v>1119.43</v>
      </c>
      <c r="H203" s="18">
        <v>558637.81000000006</v>
      </c>
      <c r="I203" s="18">
        <v>0</v>
      </c>
      <c r="J203" s="18">
        <v>0</v>
      </c>
      <c r="K203" s="18">
        <v>4977.28</v>
      </c>
      <c r="L203" s="19">
        <f t="shared" si="0"/>
        <v>575455.43000000005</v>
      </c>
      <c r="M203" s="8"/>
      <c r="N203" s="271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171562.53</v>
      </c>
      <c r="G204" s="18">
        <v>85191.83</v>
      </c>
      <c r="H204" s="18">
        <v>12573.6</v>
      </c>
      <c r="I204" s="18">
        <v>673.18</v>
      </c>
      <c r="J204" s="18">
        <v>0</v>
      </c>
      <c r="K204" s="18">
        <v>2081.9499999999998</v>
      </c>
      <c r="L204" s="19">
        <f t="shared" si="0"/>
        <v>272083.08999999997</v>
      </c>
      <c r="M204" s="8"/>
      <c r="N204" s="271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  <c r="N205" s="271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110043.63</v>
      </c>
      <c r="G206" s="18">
        <v>27490.95</v>
      </c>
      <c r="H206" s="18">
        <v>130036.19</v>
      </c>
      <c r="I206" s="18">
        <v>119733.69</v>
      </c>
      <c r="J206" s="18">
        <v>8174.39</v>
      </c>
      <c r="K206" s="18">
        <v>35</v>
      </c>
      <c r="L206" s="19">
        <f t="shared" si="0"/>
        <v>395513.85000000003</v>
      </c>
      <c r="M206" s="8"/>
      <c r="N206" s="271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126434.63</v>
      </c>
      <c r="G207" s="18">
        <v>40919.94</v>
      </c>
      <c r="H207" s="18">
        <v>81418.16</v>
      </c>
      <c r="I207" s="18">
        <v>50791.57</v>
      </c>
      <c r="J207" s="18">
        <v>2080.86</v>
      </c>
      <c r="K207" s="18">
        <v>4404.17</v>
      </c>
      <c r="L207" s="19">
        <f t="shared" si="0"/>
        <v>306049.32999999996</v>
      </c>
      <c r="M207" s="8"/>
      <c r="N207" s="271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30665.35</v>
      </c>
      <c r="I208" s="18">
        <v>0</v>
      </c>
      <c r="J208" s="18">
        <v>4077.94</v>
      </c>
      <c r="K208" s="18">
        <v>0</v>
      </c>
      <c r="L208" s="19">
        <f>SUM(F208:K208)</f>
        <v>34743.29</v>
      </c>
      <c r="M208" s="8"/>
      <c r="N208" s="271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1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2767625.4499999997</v>
      </c>
      <c r="G210" s="41">
        <f t="shared" si="1"/>
        <v>1151501.73</v>
      </c>
      <c r="H210" s="41">
        <f t="shared" si="1"/>
        <v>1477376.2900000003</v>
      </c>
      <c r="I210" s="41">
        <f t="shared" si="1"/>
        <v>266317.15999999997</v>
      </c>
      <c r="J210" s="41">
        <f t="shared" si="1"/>
        <v>37602.92</v>
      </c>
      <c r="K210" s="41">
        <f t="shared" si="1"/>
        <v>12187.9</v>
      </c>
      <c r="L210" s="41">
        <f t="shared" si="1"/>
        <v>5712611.4499999993</v>
      </c>
      <c r="M210" s="8"/>
      <c r="N210" s="271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6" t="s">
        <v>693</v>
      </c>
      <c r="G211" s="176" t="s">
        <v>694</v>
      </c>
      <c r="H211" s="176" t="s">
        <v>695</v>
      </c>
      <c r="I211" s="176" t="s">
        <v>696</v>
      </c>
      <c r="J211" s="176" t="s">
        <v>697</v>
      </c>
      <c r="K211" s="176" t="s">
        <v>698</v>
      </c>
      <c r="L211" s="67"/>
      <c r="M211" s="8"/>
      <c r="N211" s="271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1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1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9">
        <f>SUM(F214:K214)</f>
        <v>0</v>
      </c>
      <c r="M214" s="8"/>
      <c r="N214" s="271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  <c r="N215" s="271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1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1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1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 t="shared" ref="L219:L225" si="2">SUM(F219:K219)</f>
        <v>0</v>
      </c>
      <c r="M219" s="8"/>
      <c r="N219" s="271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si="2"/>
        <v>0</v>
      </c>
      <c r="M220" s="8"/>
      <c r="N220" s="271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1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1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1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1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1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  <c r="N226" s="271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1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1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6" t="s">
        <v>693</v>
      </c>
      <c r="G229" s="176" t="s">
        <v>694</v>
      </c>
      <c r="H229" s="176" t="s">
        <v>695</v>
      </c>
      <c r="I229" s="176" t="s">
        <v>696</v>
      </c>
      <c r="J229" s="176" t="s">
        <v>697</v>
      </c>
      <c r="K229" s="176" t="s">
        <v>698</v>
      </c>
      <c r="L229" s="67"/>
      <c r="M229" s="8"/>
      <c r="N229" s="271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1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1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0</v>
      </c>
      <c r="G232" s="18">
        <v>0</v>
      </c>
      <c r="H232" s="18">
        <v>2249191.65</v>
      </c>
      <c r="I232" s="18">
        <v>0</v>
      </c>
      <c r="J232" s="18">
        <v>0</v>
      </c>
      <c r="K232" s="18">
        <v>0</v>
      </c>
      <c r="L232" s="19">
        <f>SUM(F232:K232)</f>
        <v>2249191.65</v>
      </c>
      <c r="M232" s="8"/>
      <c r="N232" s="271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0</v>
      </c>
      <c r="G233" s="18">
        <v>0</v>
      </c>
      <c r="H233" s="18">
        <v>181366.31</v>
      </c>
      <c r="I233" s="18">
        <v>0</v>
      </c>
      <c r="J233" s="18">
        <v>0</v>
      </c>
      <c r="K233" s="18">
        <v>0</v>
      </c>
      <c r="L233" s="19">
        <f>SUM(F233:K233)</f>
        <v>181366.31</v>
      </c>
      <c r="M233" s="8"/>
      <c r="N233" s="271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>SUM(F234:K234)</f>
        <v>0</v>
      </c>
      <c r="M234" s="8"/>
      <c r="N234" s="271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1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1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 t="shared" ref="L237:L243" si="4">SUM(F237:K237)</f>
        <v>0</v>
      </c>
      <c r="M237" s="8"/>
      <c r="N237" s="271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si="4"/>
        <v>0</v>
      </c>
      <c r="M238" s="8"/>
      <c r="N238" s="271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1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1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1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1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68080.19</v>
      </c>
      <c r="G243" s="18">
        <v>22033.82</v>
      </c>
      <c r="H243" s="18">
        <v>43840.55</v>
      </c>
      <c r="I243" s="18">
        <v>27349.3</v>
      </c>
      <c r="J243" s="18">
        <v>1120.46</v>
      </c>
      <c r="K243" s="18">
        <v>2371.4699999999998</v>
      </c>
      <c r="L243" s="19">
        <f t="shared" si="4"/>
        <v>164795.78999999998</v>
      </c>
      <c r="M243" s="8"/>
      <c r="N243" s="271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>SUM(F244:K244)</f>
        <v>0</v>
      </c>
      <c r="M244" s="8"/>
      <c r="N244" s="271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1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68080.19</v>
      </c>
      <c r="G246" s="41">
        <f t="shared" si="5"/>
        <v>22033.82</v>
      </c>
      <c r="H246" s="41">
        <f t="shared" si="5"/>
        <v>2474398.5099999998</v>
      </c>
      <c r="I246" s="41">
        <f t="shared" si="5"/>
        <v>27349.3</v>
      </c>
      <c r="J246" s="41">
        <f t="shared" si="5"/>
        <v>1120.46</v>
      </c>
      <c r="K246" s="41">
        <f t="shared" si="5"/>
        <v>2371.4699999999998</v>
      </c>
      <c r="L246" s="41">
        <f t="shared" si="5"/>
        <v>2595353.75</v>
      </c>
      <c r="M246" s="8"/>
      <c r="N246" s="271"/>
    </row>
    <row r="247" spans="1:14" s="3" customFormat="1" ht="12" customHeight="1" x14ac:dyDescent="0.15">
      <c r="A247" s="70"/>
      <c r="B247" s="36"/>
      <c r="C247" s="37"/>
      <c r="D247" s="37"/>
      <c r="E247" s="37"/>
      <c r="F247" s="176" t="s">
        <v>693</v>
      </c>
      <c r="G247" s="176" t="s">
        <v>694</v>
      </c>
      <c r="H247" s="176" t="s">
        <v>695</v>
      </c>
      <c r="I247" s="176" t="s">
        <v>696</v>
      </c>
      <c r="J247" s="176" t="s">
        <v>697</v>
      </c>
      <c r="K247" s="176" t="s">
        <v>698</v>
      </c>
      <c r="L247" s="67"/>
      <c r="M247" s="8"/>
      <c r="N247" s="271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1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9">
        <f t="shared" ref="L249:L254" si="6">SUM(F249:K249)</f>
        <v>0</v>
      </c>
      <c r="M249" s="8"/>
      <c r="N249" s="271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si="6"/>
        <v>0</v>
      </c>
      <c r="M250" s="8"/>
      <c r="N250" s="271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1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1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1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1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1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2835705.6399999997</v>
      </c>
      <c r="G256" s="41">
        <f t="shared" si="8"/>
        <v>1173535.55</v>
      </c>
      <c r="H256" s="41">
        <f t="shared" si="8"/>
        <v>3951774.8</v>
      </c>
      <c r="I256" s="41">
        <f t="shared" si="8"/>
        <v>293666.45999999996</v>
      </c>
      <c r="J256" s="41">
        <f t="shared" si="8"/>
        <v>38723.379999999997</v>
      </c>
      <c r="K256" s="41">
        <f t="shared" si="8"/>
        <v>14559.369999999999</v>
      </c>
      <c r="L256" s="41">
        <f t="shared" si="8"/>
        <v>8307965.1999999993</v>
      </c>
      <c r="M256" s="8"/>
      <c r="N256" s="271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1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1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160000</v>
      </c>
      <c r="L259" s="19">
        <f>SUM(F259:K259)</f>
        <v>160000</v>
      </c>
      <c r="M259" s="8"/>
      <c r="N259" s="271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4544.3</v>
      </c>
      <c r="L260" s="19">
        <f>SUM(F260:K260)</f>
        <v>4544.3</v>
      </c>
      <c r="N260" s="269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69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17793.599999999999</v>
      </c>
      <c r="L262" s="19">
        <f>SUM(F262:K262)</f>
        <v>17793.599999999999</v>
      </c>
      <c r="N262" s="269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269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  <c r="N264" s="269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249700</v>
      </c>
      <c r="L265" s="19">
        <f t="shared" si="9"/>
        <v>249700</v>
      </c>
      <c r="N265" s="269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69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0</v>
      </c>
      <c r="L267" s="19">
        <f t="shared" si="9"/>
        <v>0</v>
      </c>
      <c r="N267" s="269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69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432037.9</v>
      </c>
      <c r="L269" s="41">
        <f t="shared" si="9"/>
        <v>432037.9</v>
      </c>
      <c r="N269" s="269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2835705.6399999997</v>
      </c>
      <c r="G270" s="42">
        <f t="shared" si="11"/>
        <v>1173535.55</v>
      </c>
      <c r="H270" s="42">
        <f t="shared" si="11"/>
        <v>3951774.8</v>
      </c>
      <c r="I270" s="42">
        <f t="shared" si="11"/>
        <v>293666.45999999996</v>
      </c>
      <c r="J270" s="42">
        <f t="shared" si="11"/>
        <v>38723.379999999997</v>
      </c>
      <c r="K270" s="42">
        <f t="shared" si="11"/>
        <v>446597.27</v>
      </c>
      <c r="L270" s="42">
        <f t="shared" si="11"/>
        <v>8740003.0999999996</v>
      </c>
      <c r="M270" s="8"/>
      <c r="N270" s="271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1"/>
    </row>
    <row r="272" spans="1:14" s="3" customFormat="1" ht="12" customHeight="1" x14ac:dyDescent="0.15">
      <c r="A272" s="29" t="s">
        <v>467</v>
      </c>
      <c r="F272" s="176" t="s">
        <v>693</v>
      </c>
      <c r="G272" s="176" t="s">
        <v>694</v>
      </c>
      <c r="H272" s="176" t="s">
        <v>695</v>
      </c>
      <c r="I272" s="176" t="s">
        <v>696</v>
      </c>
      <c r="J272" s="176" t="s">
        <v>697</v>
      </c>
      <c r="K272" s="176" t="s">
        <v>698</v>
      </c>
      <c r="M272" s="8"/>
      <c r="N272" s="271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1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1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91467.459999999992</v>
      </c>
      <c r="G275" s="18">
        <v>31868.539999999997</v>
      </c>
      <c r="H275" s="18">
        <v>30165.57</v>
      </c>
      <c r="I275" s="18">
        <v>3502.3899999999994</v>
      </c>
      <c r="J275" s="18">
        <v>0</v>
      </c>
      <c r="K275" s="18">
        <v>0</v>
      </c>
      <c r="L275" s="19">
        <f>SUM(F275:K275)</f>
        <v>157003.95999999996</v>
      </c>
      <c r="M275" s="8"/>
      <c r="N275" s="271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0</v>
      </c>
      <c r="M276" s="8"/>
      <c r="N276" s="271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1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1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1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0</v>
      </c>
      <c r="M280" s="8"/>
      <c r="N280" s="271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2230</v>
      </c>
      <c r="G281" s="18">
        <v>170.6</v>
      </c>
      <c r="H281" s="18">
        <v>58137.170000000006</v>
      </c>
      <c r="I281" s="18">
        <v>0</v>
      </c>
      <c r="J281" s="18">
        <v>0</v>
      </c>
      <c r="K281" s="18">
        <v>0</v>
      </c>
      <c r="L281" s="19">
        <f t="shared" si="12"/>
        <v>60537.770000000004</v>
      </c>
      <c r="M281" s="8"/>
      <c r="N281" s="271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  <c r="N282" s="271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1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13019.310000000001</v>
      </c>
      <c r="L284" s="19">
        <f t="shared" si="12"/>
        <v>13019.310000000001</v>
      </c>
      <c r="M284" s="8"/>
      <c r="N284" s="271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1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1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  <c r="N287" s="271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1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93697.459999999992</v>
      </c>
      <c r="G289" s="42">
        <f t="shared" si="13"/>
        <v>32039.139999999996</v>
      </c>
      <c r="H289" s="42">
        <f t="shared" si="13"/>
        <v>88302.74</v>
      </c>
      <c r="I289" s="42">
        <f t="shared" si="13"/>
        <v>3502.3899999999994</v>
      </c>
      <c r="J289" s="42">
        <f t="shared" si="13"/>
        <v>0</v>
      </c>
      <c r="K289" s="42">
        <f t="shared" si="13"/>
        <v>13019.310000000001</v>
      </c>
      <c r="L289" s="41">
        <f t="shared" si="13"/>
        <v>230561.03999999998</v>
      </c>
      <c r="M289" s="8"/>
      <c r="N289" s="271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1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6" t="s">
        <v>693</v>
      </c>
      <c r="G291" s="176" t="s">
        <v>694</v>
      </c>
      <c r="H291" s="176" t="s">
        <v>695</v>
      </c>
      <c r="I291" s="176" t="s">
        <v>696</v>
      </c>
      <c r="J291" s="176" t="s">
        <v>697</v>
      </c>
      <c r="K291" s="176" t="s">
        <v>698</v>
      </c>
      <c r="L291" s="17"/>
      <c r="M291" s="8"/>
      <c r="N291" s="271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1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1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0</v>
      </c>
      <c r="M294" s="8"/>
      <c r="N294" s="271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1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1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1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1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  <c r="N299" s="271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si="14"/>
        <v>0</v>
      </c>
      <c r="M300" s="8"/>
      <c r="N300" s="271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1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1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1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1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  <c r="N306" s="271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1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69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1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6" t="s">
        <v>693</v>
      </c>
      <c r="G310" s="176" t="s">
        <v>694</v>
      </c>
      <c r="H310" s="176" t="s">
        <v>695</v>
      </c>
      <c r="I310" s="176" t="s">
        <v>696</v>
      </c>
      <c r="J310" s="176" t="s">
        <v>697</v>
      </c>
      <c r="K310" s="176" t="s">
        <v>698</v>
      </c>
      <c r="L310" s="20"/>
      <c r="M310" s="8"/>
      <c r="N310" s="271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1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1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>SUM(F313:K313)</f>
        <v>0</v>
      </c>
      <c r="M313" s="8"/>
      <c r="N313" s="271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1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1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1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1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0</v>
      </c>
      <c r="M318" s="8"/>
      <c r="N318" s="271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si="16"/>
        <v>0</v>
      </c>
      <c r="M319" s="8"/>
      <c r="N319" s="271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1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1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1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1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1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  <c r="N325" s="271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1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1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1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6" t="s">
        <v>693</v>
      </c>
      <c r="G329" s="176" t="s">
        <v>694</v>
      </c>
      <c r="H329" s="176" t="s">
        <v>695</v>
      </c>
      <c r="I329" s="176" t="s">
        <v>696</v>
      </c>
      <c r="J329" s="176" t="s">
        <v>697</v>
      </c>
      <c r="K329" s="176" t="s">
        <v>698</v>
      </c>
      <c r="L329" s="19"/>
      <c r="M329" s="8"/>
      <c r="N329" s="271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1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  <c r="N331" s="271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si="18"/>
        <v>0</v>
      </c>
      <c r="M332" s="8"/>
      <c r="N332" s="271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1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1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1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1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93697.459999999992</v>
      </c>
      <c r="G337" s="41">
        <f t="shared" si="20"/>
        <v>32039.139999999996</v>
      </c>
      <c r="H337" s="41">
        <f t="shared" si="20"/>
        <v>88302.74</v>
      </c>
      <c r="I337" s="41">
        <f t="shared" si="20"/>
        <v>3502.3899999999994</v>
      </c>
      <c r="J337" s="41">
        <f t="shared" si="20"/>
        <v>0</v>
      </c>
      <c r="K337" s="41">
        <f t="shared" si="20"/>
        <v>13019.310000000001</v>
      </c>
      <c r="L337" s="41">
        <f t="shared" si="20"/>
        <v>230561.03999999998</v>
      </c>
      <c r="M337" s="8"/>
      <c r="N337" s="271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1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1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  <c r="N340" s="271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1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0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0</v>
      </c>
      <c r="L343" s="19">
        <f t="shared" ref="L343:L349" si="21">SUM(F343:K343)</f>
        <v>0</v>
      </c>
      <c r="M343" s="8"/>
      <c r="N343" s="271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  <c r="N344" s="271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1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1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1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>
        <v>0</v>
      </c>
      <c r="L348" s="19">
        <f t="shared" si="21"/>
        <v>0</v>
      </c>
      <c r="M348" s="8"/>
      <c r="N348" s="271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1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1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93697.459999999992</v>
      </c>
      <c r="G351" s="41">
        <f>G337</f>
        <v>32039.139999999996</v>
      </c>
      <c r="H351" s="41">
        <f>H337</f>
        <v>88302.74</v>
      </c>
      <c r="I351" s="41">
        <f>I337</f>
        <v>3502.3899999999994</v>
      </c>
      <c r="J351" s="41">
        <f>J337</f>
        <v>0</v>
      </c>
      <c r="K351" s="47">
        <f>K337+K350</f>
        <v>13019.310000000001</v>
      </c>
      <c r="L351" s="41">
        <f>L337+L350</f>
        <v>230561.03999999998</v>
      </c>
      <c r="M351" s="52"/>
      <c r="N351" s="270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1"/>
    </row>
    <row r="353" spans="1:14" s="3" customFormat="1" ht="12" customHeight="1" x14ac:dyDescent="0.2">
      <c r="A353" s="54"/>
      <c r="B353" s="52"/>
      <c r="C353" s="52"/>
      <c r="D353" s="52"/>
      <c r="E353" s="52"/>
      <c r="F353" s="176" t="s">
        <v>693</v>
      </c>
      <c r="G353" s="176" t="s">
        <v>694</v>
      </c>
      <c r="H353" s="176" t="s">
        <v>695</v>
      </c>
      <c r="I353" s="176" t="s">
        <v>696</v>
      </c>
      <c r="J353" s="176" t="s">
        <v>697</v>
      </c>
      <c r="K353" s="176" t="s">
        <v>698</v>
      </c>
      <c r="L353" s="53"/>
      <c r="M353" s="8"/>
      <c r="N353" s="271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1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1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1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0</v>
      </c>
      <c r="G357" s="18">
        <v>0</v>
      </c>
      <c r="H357" s="18">
        <v>146338.57999999999</v>
      </c>
      <c r="I357" s="18">
        <v>14481.85</v>
      </c>
      <c r="J357" s="18">
        <v>0</v>
      </c>
      <c r="K357" s="18">
        <v>0</v>
      </c>
      <c r="L357" s="13">
        <f>SUM(F357:K357)</f>
        <v>160820.43</v>
      </c>
      <c r="N357" s="269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0</v>
      </c>
      <c r="G358" s="18">
        <v>0</v>
      </c>
      <c r="H358" s="18">
        <v>0</v>
      </c>
      <c r="I358" s="18">
        <v>0</v>
      </c>
      <c r="J358" s="18">
        <v>0</v>
      </c>
      <c r="K358" s="18">
        <v>0</v>
      </c>
      <c r="L358" s="19">
        <f>SUM(F358:K358)</f>
        <v>0</v>
      </c>
      <c r="M358" s="8"/>
      <c r="N358" s="271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1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1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146338.57999999999</v>
      </c>
      <c r="I361" s="47">
        <f t="shared" si="22"/>
        <v>14481.85</v>
      </c>
      <c r="J361" s="47">
        <f t="shared" si="22"/>
        <v>0</v>
      </c>
      <c r="K361" s="47">
        <f t="shared" si="22"/>
        <v>0</v>
      </c>
      <c r="L361" s="47">
        <f t="shared" si="22"/>
        <v>160820.43</v>
      </c>
      <c r="M361" s="8"/>
      <c r="N361" s="271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1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1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1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13503.68</v>
      </c>
      <c r="G366" s="18">
        <v>0</v>
      </c>
      <c r="H366" s="18">
        <v>0</v>
      </c>
      <c r="I366" s="56">
        <f>SUM(F366:H366)</f>
        <v>13503.68</v>
      </c>
      <c r="J366" s="24" t="s">
        <v>289</v>
      </c>
      <c r="K366" s="24" t="s">
        <v>289</v>
      </c>
      <c r="L366" s="24" t="s">
        <v>289</v>
      </c>
      <c r="M366" s="8"/>
      <c r="N366" s="271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978.17</v>
      </c>
      <c r="G367" s="63">
        <v>0</v>
      </c>
      <c r="H367" s="63">
        <v>0</v>
      </c>
      <c r="I367" s="56">
        <f>SUM(F367:H367)</f>
        <v>978.17</v>
      </c>
      <c r="J367" s="24" t="s">
        <v>289</v>
      </c>
      <c r="K367" s="24" t="s">
        <v>289</v>
      </c>
      <c r="L367" s="24" t="s">
        <v>289</v>
      </c>
      <c r="M367" s="8"/>
      <c r="N367" s="271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14481.85</v>
      </c>
      <c r="G368" s="47">
        <f>SUM(G366:G367)</f>
        <v>0</v>
      </c>
      <c r="H368" s="47">
        <f>SUM(H366:H367)</f>
        <v>0</v>
      </c>
      <c r="I368" s="47">
        <f>SUM(I366:I367)</f>
        <v>14481.85</v>
      </c>
      <c r="J368" s="24" t="s">
        <v>289</v>
      </c>
      <c r="K368" s="24" t="s">
        <v>289</v>
      </c>
      <c r="L368" s="24" t="s">
        <v>289</v>
      </c>
      <c r="M368" s="8"/>
      <c r="N368" s="271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1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6" t="s">
        <v>693</v>
      </c>
      <c r="G370" s="176" t="s">
        <v>694</v>
      </c>
      <c r="H370" s="176" t="s">
        <v>695</v>
      </c>
      <c r="I370" s="176" t="s">
        <v>696</v>
      </c>
      <c r="J370" s="176" t="s">
        <v>697</v>
      </c>
      <c r="K370" s="176" t="s">
        <v>698</v>
      </c>
      <c r="L370" s="13"/>
      <c r="M370" s="8"/>
      <c r="N370" s="271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1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1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  <c r="N373" s="271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  <c r="N374" s="271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  <c r="N375" s="271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1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1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1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1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0</v>
      </c>
      <c r="L380" s="13">
        <f t="shared" si="23"/>
        <v>0</v>
      </c>
      <c r="M380" s="8"/>
      <c r="N380" s="271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1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1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1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>
        <v>0</v>
      </c>
      <c r="G386" s="18">
        <v>0</v>
      </c>
      <c r="H386" s="18">
        <v>0</v>
      </c>
      <c r="I386" s="18">
        <v>0</v>
      </c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1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si="25"/>
        <v>0</v>
      </c>
      <c r="M387" s="8"/>
      <c r="N387" s="271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71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>
        <v>0</v>
      </c>
      <c r="G389" s="18">
        <v>20000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20000</v>
      </c>
      <c r="M389" s="8"/>
      <c r="N389" s="271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1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>
        <v>0</v>
      </c>
      <c r="G391" s="18">
        <f>132700+117000-G389</f>
        <v>229700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229700</v>
      </c>
      <c r="M391" s="8"/>
      <c r="N391" s="271"/>
    </row>
    <row r="392" spans="1:14" s="3" customFormat="1" ht="12" customHeight="1" thickTop="1" x14ac:dyDescent="0.15">
      <c r="A392" s="159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249700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249700</v>
      </c>
      <c r="M392" s="8"/>
      <c r="N392" s="271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1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>
        <v>0</v>
      </c>
      <c r="G394" s="18">
        <v>0</v>
      </c>
      <c r="H394" s="18">
        <v>0</v>
      </c>
      <c r="I394" s="18">
        <v>0</v>
      </c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1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si="26"/>
        <v>0</v>
      </c>
      <c r="M395" s="8"/>
      <c r="N395" s="271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289</v>
      </c>
      <c r="K396" s="24" t="s">
        <v>289</v>
      </c>
      <c r="L396" s="56">
        <f t="shared" si="26"/>
        <v>0</v>
      </c>
      <c r="M396" s="8"/>
      <c r="N396" s="271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289</v>
      </c>
      <c r="K397" s="24" t="s">
        <v>289</v>
      </c>
      <c r="L397" s="56">
        <f t="shared" si="26"/>
        <v>0</v>
      </c>
      <c r="M397" s="8"/>
      <c r="N397" s="271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71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71"/>
    </row>
    <row r="400" spans="1:14" s="3" customFormat="1" ht="12" customHeight="1" thickTop="1" x14ac:dyDescent="0.15">
      <c r="A400" s="159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1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1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>
        <v>0</v>
      </c>
      <c r="G402" s="18">
        <v>0</v>
      </c>
      <c r="H402" s="18">
        <v>0</v>
      </c>
      <c r="I402" s="18">
        <v>0</v>
      </c>
      <c r="J402" s="24" t="s">
        <v>289</v>
      </c>
      <c r="K402" s="24" t="s">
        <v>289</v>
      </c>
      <c r="L402" s="56">
        <f>SUM(F402:K402)</f>
        <v>0</v>
      </c>
      <c r="M402" s="8"/>
      <c r="N402" s="271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  <c r="N403" s="271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  <c r="N404" s="271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  <c r="N405" s="271"/>
    </row>
    <row r="406" spans="1:21" s="3" customFormat="1" ht="12" customHeight="1" thickTop="1" thickBot="1" x14ac:dyDescent="0.2">
      <c r="A406" s="159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1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249700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249700</v>
      </c>
      <c r="M407" s="8"/>
      <c r="N407" s="271"/>
    </row>
    <row r="408" spans="1:21" s="3" customFormat="1" ht="12" customHeight="1" x14ac:dyDescent="0.15">
      <c r="A408" s="78"/>
      <c r="B408" s="2"/>
      <c r="C408" s="6"/>
      <c r="D408" s="6"/>
      <c r="E408" s="6"/>
      <c r="F408" s="176" t="s">
        <v>693</v>
      </c>
      <c r="G408" s="176" t="s">
        <v>694</v>
      </c>
      <c r="H408" s="176" t="s">
        <v>695</v>
      </c>
      <c r="I408" s="176" t="s">
        <v>696</v>
      </c>
      <c r="J408" s="176" t="s">
        <v>697</v>
      </c>
      <c r="K408" s="176" t="s">
        <v>698</v>
      </c>
      <c r="L408" s="56"/>
      <c r="M408" s="8"/>
      <c r="N408" s="271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1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1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1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56">
        <f t="shared" ref="L412:L417" si="27">SUM(F412:K412)</f>
        <v>0</v>
      </c>
      <c r="M412" s="8"/>
      <c r="N412" s="271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si="27"/>
        <v>0</v>
      </c>
      <c r="M413" s="52"/>
      <c r="N413" s="270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8"/>
      <c r="N414" s="226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8"/>
      <c r="N415" s="271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1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1"/>
    </row>
    <row r="418" spans="1:21" s="3" customFormat="1" ht="12" customHeight="1" thickTop="1" x14ac:dyDescent="0.15">
      <c r="A418" s="159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1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1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56">
        <f t="shared" ref="L420:L425" si="29">SUM(F420:K420)</f>
        <v>0</v>
      </c>
      <c r="M420" s="8"/>
      <c r="N420" s="271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si="29"/>
        <v>0</v>
      </c>
      <c r="M421" s="8"/>
      <c r="N421" s="271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1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1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1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f>219491.15+138.15</f>
        <v>219629.3</v>
      </c>
      <c r="J425" s="18">
        <v>0</v>
      </c>
      <c r="K425" s="18">
        <f>38693.89+10382.22+4573.48</f>
        <v>53649.59</v>
      </c>
      <c r="L425" s="56">
        <f t="shared" si="29"/>
        <v>273278.89</v>
      </c>
      <c r="M425" s="8"/>
      <c r="N425" s="271"/>
    </row>
    <row r="426" spans="1:21" s="3" customFormat="1" ht="12" customHeight="1" thickTop="1" x14ac:dyDescent="0.15">
      <c r="A426" s="159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219629.3</v>
      </c>
      <c r="J426" s="47">
        <f t="shared" si="30"/>
        <v>0</v>
      </c>
      <c r="K426" s="47">
        <f t="shared" si="30"/>
        <v>53649.59</v>
      </c>
      <c r="L426" s="47">
        <f t="shared" si="30"/>
        <v>273278.89</v>
      </c>
      <c r="M426" s="8"/>
      <c r="N426" s="271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6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>
        <v>0</v>
      </c>
      <c r="G428" s="18">
        <v>0</v>
      </c>
      <c r="H428" s="18">
        <v>0</v>
      </c>
      <c r="I428" s="18">
        <v>0</v>
      </c>
      <c r="J428" s="18">
        <v>0</v>
      </c>
      <c r="K428" s="18">
        <v>0</v>
      </c>
      <c r="L428" s="56">
        <f>SUM(F428:K428)</f>
        <v>0</v>
      </c>
      <c r="M428" s="68"/>
      <c r="N428" s="226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6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N430" s="269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M431" s="8"/>
      <c r="N431" s="271"/>
    </row>
    <row r="432" spans="1:21" s="3" customFormat="1" ht="12" customHeight="1" thickTop="1" thickBot="1" x14ac:dyDescent="0.2">
      <c r="A432" s="159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1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219629.3</v>
      </c>
      <c r="J433" s="47">
        <f t="shared" si="32"/>
        <v>0</v>
      </c>
      <c r="K433" s="47">
        <f t="shared" si="32"/>
        <v>53649.59</v>
      </c>
      <c r="L433" s="47">
        <f t="shared" si="32"/>
        <v>273278.89</v>
      </c>
      <c r="M433" s="8"/>
      <c r="N433" s="271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1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1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1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1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0</v>
      </c>
      <c r="G438" s="18">
        <v>0</v>
      </c>
      <c r="H438" s="18">
        <v>0</v>
      </c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1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0</v>
      </c>
      <c r="G439" s="18">
        <v>0</v>
      </c>
      <c r="H439" s="18">
        <v>0</v>
      </c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1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f>175961.73</f>
        <v>175961.73</v>
      </c>
      <c r="G440" s="18">
        <v>0</v>
      </c>
      <c r="H440" s="18">
        <v>0</v>
      </c>
      <c r="I440" s="56">
        <f t="shared" si="33"/>
        <v>175961.73</v>
      </c>
      <c r="J440" s="24" t="s">
        <v>289</v>
      </c>
      <c r="K440" s="24" t="s">
        <v>289</v>
      </c>
      <c r="L440" s="24" t="s">
        <v>289</v>
      </c>
      <c r="M440" s="8"/>
      <c r="N440" s="271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1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1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1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1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175961.73</v>
      </c>
      <c r="G445" s="13">
        <f>SUM(G438:G444)</f>
        <v>0</v>
      </c>
      <c r="H445" s="13">
        <f>SUM(H438:H444)</f>
        <v>0</v>
      </c>
      <c r="I445" s="13">
        <f>SUM(I438:I444)</f>
        <v>175961.73</v>
      </c>
      <c r="J445" s="24" t="s">
        <v>289</v>
      </c>
      <c r="K445" s="24" t="s">
        <v>289</v>
      </c>
      <c r="L445" s="24" t="s">
        <v>289</v>
      </c>
      <c r="M445" s="8"/>
      <c r="N445" s="271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1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1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1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1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1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1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1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>
        <v>0</v>
      </c>
      <c r="G453" s="18">
        <v>0</v>
      </c>
      <c r="H453" s="18">
        <v>0</v>
      </c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1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>
        <v>0</v>
      </c>
      <c r="G454" s="18">
        <v>0</v>
      </c>
      <c r="H454" s="18">
        <v>0</v>
      </c>
      <c r="I454" s="56">
        <f t="shared" si="34"/>
        <v>0</v>
      </c>
      <c r="J454" s="24"/>
      <c r="K454" s="24"/>
      <c r="L454" s="24"/>
      <c r="M454" s="8"/>
      <c r="N454" s="271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1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6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/>
      <c r="K457" s="24"/>
      <c r="L457" s="24"/>
      <c r="M457" s="52"/>
      <c r="N457" s="270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175961.73</v>
      </c>
      <c r="G458" s="18">
        <v>0</v>
      </c>
      <c r="H458" s="18">
        <v>0</v>
      </c>
      <c r="I458" s="56">
        <f t="shared" si="34"/>
        <v>175961.73</v>
      </c>
      <c r="J458" s="24" t="s">
        <v>289</v>
      </c>
      <c r="K458" s="24" t="s">
        <v>289</v>
      </c>
      <c r="L458" s="24" t="s">
        <v>289</v>
      </c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175961.73</v>
      </c>
      <c r="G459" s="83">
        <f>SUM(G453:G458)</f>
        <v>0</v>
      </c>
      <c r="H459" s="83">
        <f>SUM(H453:H458)</f>
        <v>0</v>
      </c>
      <c r="I459" s="83">
        <f>SUM(I453:I458)</f>
        <v>175961.73</v>
      </c>
      <c r="J459" s="24" t="s">
        <v>289</v>
      </c>
      <c r="K459" s="24" t="s">
        <v>289</v>
      </c>
      <c r="L459" s="24" t="s">
        <v>289</v>
      </c>
      <c r="N459" s="270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6" t="s">
        <v>433</v>
      </c>
      <c r="E460" s="82"/>
      <c r="F460" s="42">
        <f>F451+F459</f>
        <v>175961.73</v>
      </c>
      <c r="G460" s="42">
        <f>G451+G459</f>
        <v>0</v>
      </c>
      <c r="H460" s="42">
        <f>H451+H459</f>
        <v>0</v>
      </c>
      <c r="I460" s="42">
        <f>I451+I459</f>
        <v>175961.73</v>
      </c>
      <c r="J460" s="24" t="s">
        <v>289</v>
      </c>
      <c r="K460" s="24" t="s">
        <v>289</v>
      </c>
      <c r="L460" s="24" t="s">
        <v>289</v>
      </c>
      <c r="N460" s="270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0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0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0"/>
    </row>
    <row r="464" spans="1:23" s="52" customFormat="1" ht="12" customHeight="1" x14ac:dyDescent="0.2">
      <c r="A464" s="188" t="s">
        <v>899</v>
      </c>
      <c r="B464" s="105">
        <v>19</v>
      </c>
      <c r="C464" s="111">
        <v>1</v>
      </c>
      <c r="D464" s="2" t="s">
        <v>433</v>
      </c>
      <c r="E464" s="111"/>
      <c r="F464" s="18">
        <v>345566.67</v>
      </c>
      <c r="G464" s="18">
        <v>0</v>
      </c>
      <c r="H464" s="18">
        <v>0</v>
      </c>
      <c r="I464" s="18"/>
      <c r="J464" s="18">
        <v>199540.62</v>
      </c>
      <c r="K464" s="24" t="s">
        <v>289</v>
      </c>
      <c r="L464" s="24" t="s">
        <v>289</v>
      </c>
      <c r="N464" s="270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0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0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9165312.4299999997</v>
      </c>
      <c r="G467" s="18">
        <f>G192</f>
        <v>160820.43000000002</v>
      </c>
      <c r="H467" s="18">
        <f>H192</f>
        <v>230561.04000000004</v>
      </c>
      <c r="I467" s="18">
        <v>0</v>
      </c>
      <c r="J467" s="18">
        <f>132700+117000</f>
        <v>249700</v>
      </c>
      <c r="K467" s="24" t="s">
        <v>289</v>
      </c>
      <c r="L467" s="24" t="s">
        <v>289</v>
      </c>
      <c r="N467" s="270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0</v>
      </c>
      <c r="G468" s="18">
        <v>0</v>
      </c>
      <c r="H468" s="18">
        <v>0</v>
      </c>
      <c r="I468" s="18">
        <v>0</v>
      </c>
      <c r="J468" s="18">
        <v>0</v>
      </c>
      <c r="K468" s="24" t="s">
        <v>289</v>
      </c>
      <c r="L468" s="24" t="s">
        <v>289</v>
      </c>
      <c r="N468" s="270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9165312.4299999997</v>
      </c>
      <c r="G469" s="53">
        <f>SUM(G467:G468)</f>
        <v>160820.43000000002</v>
      </c>
      <c r="H469" s="53">
        <f>SUM(H467:H468)</f>
        <v>230561.04000000004</v>
      </c>
      <c r="I469" s="53">
        <f>SUM(I467:I468)</f>
        <v>0</v>
      </c>
      <c r="J469" s="53">
        <f>SUM(J467:J468)</f>
        <v>249700</v>
      </c>
      <c r="K469" s="24" t="s">
        <v>289</v>
      </c>
      <c r="L469" s="24" t="s">
        <v>289</v>
      </c>
      <c r="N469" s="270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0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8740003.0999999996</v>
      </c>
      <c r="G471" s="18">
        <f>L361</f>
        <v>160820.43</v>
      </c>
      <c r="H471" s="18">
        <f>L337</f>
        <v>230561.03999999998</v>
      </c>
      <c r="I471" s="18">
        <v>0</v>
      </c>
      <c r="J471" s="18">
        <f>273140.74+138.15</f>
        <v>273278.89</v>
      </c>
      <c r="K471" s="24" t="s">
        <v>289</v>
      </c>
      <c r="L471" s="24" t="s">
        <v>289</v>
      </c>
      <c r="N471" s="270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0</v>
      </c>
      <c r="G472" s="18">
        <v>0</v>
      </c>
      <c r="H472" s="18">
        <v>0</v>
      </c>
      <c r="I472" s="18">
        <v>0</v>
      </c>
      <c r="J472" s="18">
        <v>0</v>
      </c>
      <c r="K472" s="24" t="s">
        <v>289</v>
      </c>
      <c r="L472" s="24" t="s">
        <v>289</v>
      </c>
      <c r="N472" s="270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8740003.0999999996</v>
      </c>
      <c r="G473" s="53">
        <f>SUM(G471:G472)</f>
        <v>160820.43</v>
      </c>
      <c r="H473" s="53">
        <f>SUM(H471:H472)</f>
        <v>230561.03999999998</v>
      </c>
      <c r="I473" s="53">
        <f>SUM(I471:I472)</f>
        <v>0</v>
      </c>
      <c r="J473" s="53">
        <f>SUM(J471:J472)</f>
        <v>273278.89</v>
      </c>
      <c r="K473" s="24" t="s">
        <v>289</v>
      </c>
      <c r="L473" s="24" t="s">
        <v>289</v>
      </c>
      <c r="N473" s="270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0"/>
    </row>
    <row r="475" spans="1:14" s="52" customFormat="1" ht="12" customHeight="1" x14ac:dyDescent="0.2">
      <c r="A475" s="189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770876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175961.72999999998</v>
      </c>
      <c r="K475" s="24" t="s">
        <v>289</v>
      </c>
      <c r="L475" s="24" t="s">
        <v>289</v>
      </c>
      <c r="N475" s="270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0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0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0"/>
    </row>
    <row r="480" spans="1:14" s="52" customFormat="1" ht="12" customHeight="1" x14ac:dyDescent="0.2">
      <c r="A480" s="174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0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0"/>
    </row>
    <row r="482" spans="1:14" s="52" customFormat="1" ht="12" customHeight="1" x14ac:dyDescent="0.2">
      <c r="A482" s="173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0"/>
    </row>
    <row r="483" spans="1:14" s="52" customFormat="1" ht="12" customHeight="1" x14ac:dyDescent="0.2">
      <c r="A483" s="173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0"/>
    </row>
    <row r="484" spans="1:14" s="52" customFormat="1" ht="12" customHeight="1" x14ac:dyDescent="0.2">
      <c r="A484" s="173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0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0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0"/>
    </row>
    <row r="487" spans="1:14" s="52" customFormat="1" ht="12" customHeight="1" x14ac:dyDescent="0.2">
      <c r="A487" s="146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0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0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3">
        <v>15</v>
      </c>
      <c r="G489" s="153">
        <v>15</v>
      </c>
      <c r="H489" s="153">
        <v>0</v>
      </c>
      <c r="I489" s="153"/>
      <c r="J489" s="153"/>
      <c r="K489" s="24" t="s">
        <v>289</v>
      </c>
      <c r="L489" s="24" t="s">
        <v>289</v>
      </c>
      <c r="N489" s="270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4" t="s">
        <v>909</v>
      </c>
      <c r="G490" s="154" t="s">
        <v>909</v>
      </c>
      <c r="H490" s="18">
        <v>0</v>
      </c>
      <c r="I490" s="18">
        <v>0</v>
      </c>
      <c r="J490" s="18">
        <v>0</v>
      </c>
      <c r="K490" s="24" t="s">
        <v>289</v>
      </c>
      <c r="L490" s="24" t="s">
        <v>289</v>
      </c>
      <c r="N490" s="270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4" t="s">
        <v>910</v>
      </c>
      <c r="G491" s="154" t="s">
        <v>910</v>
      </c>
      <c r="H491" s="18">
        <v>0</v>
      </c>
      <c r="I491" s="18">
        <v>0</v>
      </c>
      <c r="J491" s="18">
        <v>0</v>
      </c>
      <c r="K491" s="24" t="s">
        <v>289</v>
      </c>
      <c r="L491" s="24" t="s">
        <v>289</v>
      </c>
      <c r="N491" s="270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607562</v>
      </c>
      <c r="G492" s="18">
        <v>1822684</v>
      </c>
      <c r="H492" s="18">
        <v>0</v>
      </c>
      <c r="I492" s="18">
        <v>0</v>
      </c>
      <c r="J492" s="18">
        <v>0</v>
      </c>
      <c r="K492" s="24" t="s">
        <v>289</v>
      </c>
      <c r="L492" s="24" t="s">
        <v>289</v>
      </c>
      <c r="N492" s="270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4.95</v>
      </c>
      <c r="G493" s="18">
        <v>4.9000000000000004</v>
      </c>
      <c r="H493" s="18">
        <v>0</v>
      </c>
      <c r="I493" s="18">
        <v>0</v>
      </c>
      <c r="J493" s="18">
        <v>0</v>
      </c>
      <c r="K493" s="24" t="s">
        <v>289</v>
      </c>
      <c r="L493" s="24" t="s">
        <v>289</v>
      </c>
      <c r="N493" s="270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40000</v>
      </c>
      <c r="G494" s="18">
        <v>120000</v>
      </c>
      <c r="H494" s="18">
        <v>0</v>
      </c>
      <c r="I494" s="18">
        <v>0</v>
      </c>
      <c r="J494" s="18">
        <v>0</v>
      </c>
      <c r="K494" s="53">
        <f>SUM(F494:J494)</f>
        <v>160000</v>
      </c>
      <c r="L494" s="24" t="s">
        <v>289</v>
      </c>
      <c r="N494" s="270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53">
        <f t="shared" ref="K495:K502" si="35">SUM(F495:J495)</f>
        <v>0</v>
      </c>
      <c r="L495" s="24" t="s">
        <v>289</v>
      </c>
      <c r="N495" s="270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40000</v>
      </c>
      <c r="G496" s="18">
        <v>120000</v>
      </c>
      <c r="H496" s="18">
        <v>0</v>
      </c>
      <c r="I496" s="18">
        <v>0</v>
      </c>
      <c r="J496" s="18">
        <v>0</v>
      </c>
      <c r="K496" s="53">
        <f t="shared" si="35"/>
        <v>160000</v>
      </c>
      <c r="L496" s="24" t="s">
        <v>289</v>
      </c>
      <c r="N496" s="270"/>
    </row>
    <row r="497" spans="1:14" s="52" customFormat="1" ht="12" customHeight="1" x14ac:dyDescent="0.2">
      <c r="A497" s="199" t="s">
        <v>626</v>
      </c>
      <c r="B497" s="200">
        <v>20</v>
      </c>
      <c r="C497" s="201">
        <v>9</v>
      </c>
      <c r="D497" s="202" t="s">
        <v>433</v>
      </c>
      <c r="E497" s="201"/>
      <c r="F497" s="203">
        <v>0</v>
      </c>
      <c r="G497" s="203">
        <v>0</v>
      </c>
      <c r="H497" s="203">
        <v>0</v>
      </c>
      <c r="I497" s="203">
        <v>0</v>
      </c>
      <c r="J497" s="203">
        <v>0</v>
      </c>
      <c r="K497" s="204">
        <f t="shared" si="35"/>
        <v>0</v>
      </c>
      <c r="L497" s="205" t="s">
        <v>289</v>
      </c>
      <c r="N497" s="270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>
        <v>0</v>
      </c>
      <c r="H498" s="18">
        <v>0</v>
      </c>
      <c r="I498" s="18">
        <v>0</v>
      </c>
      <c r="J498" s="18">
        <v>0</v>
      </c>
      <c r="K498" s="53">
        <f t="shared" si="35"/>
        <v>0</v>
      </c>
      <c r="L498" s="24" t="s">
        <v>289</v>
      </c>
      <c r="N498" s="270"/>
    </row>
    <row r="499" spans="1:14" s="52" customFormat="1" ht="12" customHeight="1" thickTop="1" x14ac:dyDescent="0.2">
      <c r="A499" s="139" t="s">
        <v>628</v>
      </c>
      <c r="B499" s="44">
        <v>20</v>
      </c>
      <c r="C499" s="194">
        <v>11</v>
      </c>
      <c r="D499" s="39" t="s">
        <v>433</v>
      </c>
      <c r="E499" s="194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0"/>
    </row>
    <row r="500" spans="1:14" s="52" customFormat="1" ht="12" customHeight="1" x14ac:dyDescent="0.2">
      <c r="A500" s="199" t="s">
        <v>655</v>
      </c>
      <c r="B500" s="200">
        <v>20</v>
      </c>
      <c r="C500" s="201">
        <v>12</v>
      </c>
      <c r="D500" s="202" t="s">
        <v>433</v>
      </c>
      <c r="E500" s="201"/>
      <c r="F500" s="203">
        <v>0</v>
      </c>
      <c r="G500" s="203">
        <v>0</v>
      </c>
      <c r="H500" s="203">
        <v>0</v>
      </c>
      <c r="I500" s="203">
        <v>0</v>
      </c>
      <c r="J500" s="203">
        <v>0</v>
      </c>
      <c r="K500" s="204">
        <f t="shared" si="35"/>
        <v>0</v>
      </c>
      <c r="L500" s="205" t="s">
        <v>289</v>
      </c>
      <c r="N500" s="270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>
        <v>0</v>
      </c>
      <c r="H501" s="18">
        <v>0</v>
      </c>
      <c r="I501" s="18">
        <v>0</v>
      </c>
      <c r="J501" s="18">
        <v>0</v>
      </c>
      <c r="K501" s="53">
        <f t="shared" si="35"/>
        <v>0</v>
      </c>
      <c r="L501" s="24" t="s">
        <v>289</v>
      </c>
      <c r="N501" s="270"/>
    </row>
    <row r="502" spans="1:14" s="52" customFormat="1" ht="12" customHeight="1" thickTop="1" x14ac:dyDescent="0.2">
      <c r="A502" s="139" t="s">
        <v>630</v>
      </c>
      <c r="B502" s="44">
        <v>20</v>
      </c>
      <c r="C502" s="194">
        <v>14</v>
      </c>
      <c r="D502" s="39" t="s">
        <v>433</v>
      </c>
      <c r="E502" s="194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0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0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0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0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0"/>
    </row>
    <row r="508" spans="1:14" s="52" customFormat="1" ht="12" customHeight="1" x14ac:dyDescent="0.2">
      <c r="A508" s="146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0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0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>
        <v>0</v>
      </c>
      <c r="G510" s="24" t="s">
        <v>289</v>
      </c>
      <c r="H510" s="18">
        <v>0</v>
      </c>
      <c r="I510" s="24" t="s">
        <v>289</v>
      </c>
      <c r="J510" s="24" t="s">
        <v>289</v>
      </c>
      <c r="K510" s="24" t="s">
        <v>289</v>
      </c>
      <c r="L510" s="24" t="s">
        <v>289</v>
      </c>
      <c r="N510" s="270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>
        <v>0</v>
      </c>
      <c r="G511" s="24" t="s">
        <v>289</v>
      </c>
      <c r="H511" s="18">
        <v>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0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0</v>
      </c>
      <c r="G512" s="24" t="s">
        <v>289</v>
      </c>
      <c r="H512" s="18">
        <v>0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0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>
        <v>0</v>
      </c>
      <c r="G513" s="24" t="s">
        <v>289</v>
      </c>
      <c r="H513" s="18">
        <v>0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0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>
        <v>0</v>
      </c>
      <c r="G514" s="24" t="s">
        <v>289</v>
      </c>
      <c r="H514" s="18">
        <v>0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0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0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0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6" t="s">
        <v>693</v>
      </c>
      <c r="G517" s="176" t="s">
        <v>694</v>
      </c>
      <c r="H517" s="176" t="s">
        <v>695</v>
      </c>
      <c r="I517" s="176" t="s">
        <v>696</v>
      </c>
      <c r="J517" s="176" t="s">
        <v>697</v>
      </c>
      <c r="K517" s="176" t="s">
        <v>698</v>
      </c>
      <c r="L517" s="106"/>
      <c r="N517" s="270"/>
    </row>
    <row r="518" spans="1:14" s="52" customFormat="1" ht="12" customHeight="1" x14ac:dyDescent="0.2">
      <c r="A518" s="177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0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0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 t="shared" ref="F520:K520" si="36">F197+F276</f>
        <v>647015.61</v>
      </c>
      <c r="G520" s="18">
        <f t="shared" si="36"/>
        <v>196465.17</v>
      </c>
      <c r="H520" s="18">
        <f t="shared" si="36"/>
        <v>628091.80000000005</v>
      </c>
      <c r="I520" s="18">
        <f t="shared" si="36"/>
        <v>2439.13</v>
      </c>
      <c r="J520" s="18">
        <f t="shared" si="36"/>
        <v>372.85</v>
      </c>
      <c r="K520" s="18">
        <f t="shared" si="36"/>
        <v>0</v>
      </c>
      <c r="L520" s="88">
        <f>SUM(F520:K520)</f>
        <v>1474384.56</v>
      </c>
      <c r="N520" s="270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0</v>
      </c>
      <c r="G521" s="18">
        <v>0</v>
      </c>
      <c r="H521" s="18">
        <v>0</v>
      </c>
      <c r="I521" s="18">
        <v>0</v>
      </c>
      <c r="J521" s="18">
        <v>0</v>
      </c>
      <c r="K521" s="18">
        <v>0</v>
      </c>
      <c r="L521" s="88">
        <f>SUM(F521:K521)</f>
        <v>0</v>
      </c>
      <c r="N521" s="270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8">
        <f>SUM(F522:K522)</f>
        <v>0</v>
      </c>
      <c r="N522" s="270"/>
    </row>
    <row r="523" spans="1:14" s="52" customFormat="1" ht="12" customHeight="1" thickTop="1" x14ac:dyDescent="0.2">
      <c r="A523" s="139" t="s">
        <v>63</v>
      </c>
      <c r="B523" s="107">
        <v>21</v>
      </c>
      <c r="C523" s="194">
        <v>4</v>
      </c>
      <c r="D523" s="195" t="s">
        <v>433</v>
      </c>
      <c r="E523" s="194"/>
      <c r="F523" s="108">
        <f>SUM(F520:F522)</f>
        <v>647015.61</v>
      </c>
      <c r="G523" s="108">
        <f t="shared" ref="G523:L523" si="37">SUM(G520:G522)</f>
        <v>196465.17</v>
      </c>
      <c r="H523" s="108">
        <f t="shared" si="37"/>
        <v>628091.80000000005</v>
      </c>
      <c r="I523" s="108">
        <f t="shared" si="37"/>
        <v>2439.13</v>
      </c>
      <c r="J523" s="108">
        <f t="shared" si="37"/>
        <v>372.85</v>
      </c>
      <c r="K523" s="108">
        <f t="shared" si="37"/>
        <v>0</v>
      </c>
      <c r="L523" s="89">
        <f t="shared" si="37"/>
        <v>1474384.56</v>
      </c>
      <c r="N523" s="270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0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8611.17</v>
      </c>
      <c r="G525" s="18">
        <v>2583.92</v>
      </c>
      <c r="H525" s="18">
        <v>54</v>
      </c>
      <c r="I525" s="18">
        <v>298.37</v>
      </c>
      <c r="J525" s="18">
        <v>0</v>
      </c>
      <c r="K525" s="18">
        <v>0</v>
      </c>
      <c r="L525" s="88">
        <f>SUM(F525:K525)</f>
        <v>11547.460000000001</v>
      </c>
      <c r="M525" s="8"/>
      <c r="N525" s="271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8">
        <f>SUM(F526:K526)</f>
        <v>0</v>
      </c>
      <c r="M526" s="8"/>
      <c r="N526" s="271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71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7" t="s">
        <v>433</v>
      </c>
      <c r="E528" s="107"/>
      <c r="F528" s="89">
        <f>SUM(F525:F527)</f>
        <v>8611.17</v>
      </c>
      <c r="G528" s="89">
        <f t="shared" ref="G528:L528" si="38">SUM(G525:G527)</f>
        <v>2583.92</v>
      </c>
      <c r="H528" s="89">
        <f t="shared" si="38"/>
        <v>54</v>
      </c>
      <c r="I528" s="89">
        <f t="shared" si="38"/>
        <v>298.37</v>
      </c>
      <c r="J528" s="89">
        <f t="shared" si="38"/>
        <v>0</v>
      </c>
      <c r="K528" s="89">
        <f t="shared" si="38"/>
        <v>0</v>
      </c>
      <c r="L528" s="89">
        <f t="shared" si="38"/>
        <v>11547.460000000001</v>
      </c>
      <c r="M528" s="8"/>
      <c r="N528" s="271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1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1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26130.2</v>
      </c>
      <c r="G531" s="18">
        <v>4375.96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30506.16</v>
      </c>
      <c r="M531" s="8"/>
      <c r="N531" s="271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  <c r="N532" s="271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7" t="s">
        <v>433</v>
      </c>
      <c r="E533" s="107"/>
      <c r="F533" s="89">
        <f>SUM(F530:F532)</f>
        <v>26130.2</v>
      </c>
      <c r="G533" s="89">
        <f t="shared" ref="G533:L533" si="39">SUM(G530:G532)</f>
        <v>4375.96</v>
      </c>
      <c r="H533" s="89">
        <f t="shared" si="39"/>
        <v>0</v>
      </c>
      <c r="I533" s="89">
        <f t="shared" si="39"/>
        <v>0</v>
      </c>
      <c r="J533" s="89">
        <f t="shared" si="39"/>
        <v>0</v>
      </c>
      <c r="K533" s="89">
        <f t="shared" si="39"/>
        <v>0</v>
      </c>
      <c r="L533" s="89">
        <f t="shared" si="39"/>
        <v>30506.16</v>
      </c>
      <c r="M533" s="8"/>
      <c r="N533" s="271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3" t="s">
        <v>289</v>
      </c>
      <c r="G534" s="193" t="s">
        <v>289</v>
      </c>
      <c r="H534" s="193" t="s">
        <v>289</v>
      </c>
      <c r="I534" s="193" t="s">
        <v>289</v>
      </c>
      <c r="J534" s="193" t="s">
        <v>289</v>
      </c>
      <c r="K534" s="193" t="s">
        <v>289</v>
      </c>
      <c r="L534" s="193" t="s">
        <v>289</v>
      </c>
      <c r="M534" s="8"/>
      <c r="N534" s="271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>
        <v>0</v>
      </c>
      <c r="G535" s="18">
        <v>0</v>
      </c>
      <c r="H535" s="18">
        <v>0</v>
      </c>
      <c r="I535" s="18">
        <v>0</v>
      </c>
      <c r="J535" s="18">
        <v>0</v>
      </c>
      <c r="K535" s="18">
        <v>0</v>
      </c>
      <c r="L535" s="88">
        <f>SUM(F535:K535)</f>
        <v>0</v>
      </c>
      <c r="M535" s="8"/>
      <c r="N535" s="271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1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1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7" t="s">
        <v>433</v>
      </c>
      <c r="E538" s="107"/>
      <c r="F538" s="89">
        <f>SUM(F535:F537)</f>
        <v>0</v>
      </c>
      <c r="G538" s="89">
        <f t="shared" ref="G538:L538" si="40">SUM(G535:G537)</f>
        <v>0</v>
      </c>
      <c r="H538" s="89">
        <f t="shared" si="40"/>
        <v>0</v>
      </c>
      <c r="I538" s="89">
        <f t="shared" si="40"/>
        <v>0</v>
      </c>
      <c r="J538" s="89">
        <f t="shared" si="40"/>
        <v>0</v>
      </c>
      <c r="K538" s="89">
        <f t="shared" si="40"/>
        <v>0</v>
      </c>
      <c r="L538" s="89">
        <f t="shared" si="40"/>
        <v>0</v>
      </c>
      <c r="M538" s="8"/>
      <c r="N538" s="271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1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48873.13</v>
      </c>
      <c r="G540" s="18">
        <v>38693.15</v>
      </c>
      <c r="H540" s="18">
        <v>19808.71</v>
      </c>
      <c r="I540" s="18">
        <v>0</v>
      </c>
      <c r="J540" s="18">
        <v>0</v>
      </c>
      <c r="K540" s="18">
        <v>0</v>
      </c>
      <c r="L540" s="88">
        <f>SUM(F540:K540)</f>
        <v>107374.98999999999</v>
      </c>
      <c r="M540" s="8"/>
      <c r="N540" s="271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0</v>
      </c>
      <c r="G541" s="18">
        <v>0</v>
      </c>
      <c r="H541" s="18">
        <v>0</v>
      </c>
      <c r="I541" s="18">
        <v>0</v>
      </c>
      <c r="J541" s="18">
        <v>0</v>
      </c>
      <c r="K541" s="18">
        <v>0</v>
      </c>
      <c r="L541" s="88">
        <f>SUM(F541:K541)</f>
        <v>0</v>
      </c>
      <c r="M541" s="8"/>
      <c r="N541" s="271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26316.3</v>
      </c>
      <c r="G542" s="18">
        <v>20834.77</v>
      </c>
      <c r="H542" s="18">
        <v>10666.23</v>
      </c>
      <c r="I542" s="18">
        <v>0</v>
      </c>
      <c r="J542" s="18">
        <v>0</v>
      </c>
      <c r="K542" s="18">
        <v>0</v>
      </c>
      <c r="L542" s="88">
        <f>SUM(F542:K542)</f>
        <v>57817.3</v>
      </c>
      <c r="M542" s="8"/>
      <c r="N542" s="271"/>
    </row>
    <row r="543" spans="1:14" s="3" customFormat="1" ht="12" customHeight="1" thickTop="1" thickBot="1" x14ac:dyDescent="0.2">
      <c r="A543" s="130" t="s">
        <v>71</v>
      </c>
      <c r="B543" s="190">
        <v>21</v>
      </c>
      <c r="C543" s="190">
        <v>20</v>
      </c>
      <c r="D543" s="191" t="s">
        <v>433</v>
      </c>
      <c r="E543" s="190"/>
      <c r="F543" s="192">
        <f>SUM(F540:F542)</f>
        <v>75189.429999999993</v>
      </c>
      <c r="G543" s="192">
        <f t="shared" ref="G543:L543" si="41">SUM(G540:G542)</f>
        <v>59527.92</v>
      </c>
      <c r="H543" s="192">
        <f t="shared" si="41"/>
        <v>30474.94</v>
      </c>
      <c r="I543" s="192">
        <f t="shared" si="41"/>
        <v>0</v>
      </c>
      <c r="J543" s="192">
        <f t="shared" si="41"/>
        <v>0</v>
      </c>
      <c r="K543" s="192">
        <f t="shared" si="41"/>
        <v>0</v>
      </c>
      <c r="L543" s="192">
        <f t="shared" si="41"/>
        <v>165192.28999999998</v>
      </c>
      <c r="M543" s="8"/>
      <c r="N543" s="271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7" t="s">
        <v>433</v>
      </c>
      <c r="E544" s="107"/>
      <c r="F544" s="89">
        <f>F523+F528+F533+F538+F543</f>
        <v>756946.40999999992</v>
      </c>
      <c r="G544" s="89">
        <f t="shared" ref="G544:L544" si="42">G523+G528+G533+G538+G543</f>
        <v>262952.97000000003</v>
      </c>
      <c r="H544" s="89">
        <f t="shared" si="42"/>
        <v>658620.74</v>
      </c>
      <c r="I544" s="89">
        <f t="shared" si="42"/>
        <v>2737.5</v>
      </c>
      <c r="J544" s="89">
        <f t="shared" si="42"/>
        <v>372.85</v>
      </c>
      <c r="K544" s="89">
        <f t="shared" si="42"/>
        <v>0</v>
      </c>
      <c r="L544" s="89">
        <f t="shared" si="42"/>
        <v>1681630.47</v>
      </c>
      <c r="M544" s="8"/>
      <c r="N544" s="271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1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1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1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1474384.56</v>
      </c>
      <c r="G548" s="87">
        <f>L525</f>
        <v>11547.460000000001</v>
      </c>
      <c r="H548" s="87">
        <f>L530</f>
        <v>0</v>
      </c>
      <c r="I548" s="87">
        <f>L535</f>
        <v>0</v>
      </c>
      <c r="J548" s="87">
        <f>L540</f>
        <v>107374.98999999999</v>
      </c>
      <c r="K548" s="87">
        <f>SUM(F548:J548)</f>
        <v>1593307.01</v>
      </c>
      <c r="L548" s="24" t="s">
        <v>289</v>
      </c>
      <c r="M548" s="8"/>
      <c r="N548" s="271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30506.16</v>
      </c>
      <c r="I549" s="87">
        <f>L536</f>
        <v>0</v>
      </c>
      <c r="J549" s="87">
        <f>L541</f>
        <v>0</v>
      </c>
      <c r="K549" s="87">
        <f>SUM(F549:J549)</f>
        <v>30506.16</v>
      </c>
      <c r="L549" s="24" t="s">
        <v>289</v>
      </c>
      <c r="M549" s="8"/>
      <c r="N549" s="271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57817.3</v>
      </c>
      <c r="K550" s="87">
        <f>SUM(F550:J550)</f>
        <v>57817.3</v>
      </c>
      <c r="L550" s="24" t="s">
        <v>289</v>
      </c>
      <c r="M550" s="8"/>
      <c r="N550" s="271"/>
    </row>
    <row r="551" spans="1:14" s="3" customFormat="1" ht="12" customHeight="1" thickTop="1" x14ac:dyDescent="0.15">
      <c r="A551" s="171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3">SUM(F548:F550)</f>
        <v>1474384.56</v>
      </c>
      <c r="G551" s="89">
        <f t="shared" si="43"/>
        <v>11547.460000000001</v>
      </c>
      <c r="H551" s="89">
        <f t="shared" si="43"/>
        <v>30506.16</v>
      </c>
      <c r="I551" s="89">
        <f t="shared" si="43"/>
        <v>0</v>
      </c>
      <c r="J551" s="89">
        <f t="shared" si="43"/>
        <v>165192.28999999998</v>
      </c>
      <c r="K551" s="89">
        <f t="shared" si="43"/>
        <v>1681630.47</v>
      </c>
      <c r="L551" s="24"/>
      <c r="M551" s="8"/>
      <c r="N551" s="271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1"/>
    </row>
    <row r="553" spans="1:14" s="3" customFormat="1" ht="12" customHeight="1" x14ac:dyDescent="0.15">
      <c r="B553" s="105"/>
      <c r="C553" s="115"/>
      <c r="D553" s="115"/>
      <c r="E553" s="115"/>
      <c r="F553" s="176" t="s">
        <v>693</v>
      </c>
      <c r="G553" s="176" t="s">
        <v>694</v>
      </c>
      <c r="H553" s="176" t="s">
        <v>695</v>
      </c>
      <c r="I553" s="176" t="s">
        <v>696</v>
      </c>
      <c r="J553" s="176" t="s">
        <v>697</v>
      </c>
      <c r="K553" s="176" t="s">
        <v>698</v>
      </c>
      <c r="L553" s="106"/>
      <c r="M553" s="8"/>
      <c r="N553" s="271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1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1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18">
        <v>0</v>
      </c>
      <c r="L556" s="88">
        <f>SUM(F556:K556)</f>
        <v>0</v>
      </c>
      <c r="M556" s="8"/>
      <c r="N556" s="271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1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1"/>
    </row>
    <row r="559" spans="1:14" s="3" customFormat="1" ht="12" customHeight="1" thickTop="1" x14ac:dyDescent="0.15">
      <c r="A559" s="139" t="s">
        <v>63</v>
      </c>
      <c r="B559" s="107">
        <v>22</v>
      </c>
      <c r="C559" s="194">
        <v>4</v>
      </c>
      <c r="D559" s="195" t="s">
        <v>433</v>
      </c>
      <c r="E559" s="194"/>
      <c r="F559" s="108">
        <f t="shared" ref="F559:L559" si="44">SUM(F556:F558)</f>
        <v>0</v>
      </c>
      <c r="G559" s="108">
        <f t="shared" si="44"/>
        <v>0</v>
      </c>
      <c r="H559" s="108">
        <f t="shared" si="44"/>
        <v>0</v>
      </c>
      <c r="I559" s="108">
        <f t="shared" si="44"/>
        <v>0</v>
      </c>
      <c r="J559" s="108">
        <f t="shared" si="44"/>
        <v>0</v>
      </c>
      <c r="K559" s="108">
        <f t="shared" si="44"/>
        <v>0</v>
      </c>
      <c r="L559" s="89">
        <f t="shared" si="44"/>
        <v>0</v>
      </c>
      <c r="M559" s="8"/>
      <c r="N559" s="271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1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18">
        <v>0</v>
      </c>
      <c r="L561" s="88">
        <f>SUM(F561:K561)</f>
        <v>0</v>
      </c>
      <c r="M561" s="8"/>
      <c r="N561" s="271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1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1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5" t="s">
        <v>433</v>
      </c>
      <c r="E564" s="107"/>
      <c r="F564" s="89">
        <f t="shared" ref="F564:L564" si="45">SUM(F561:F563)</f>
        <v>0</v>
      </c>
      <c r="G564" s="89">
        <f t="shared" si="45"/>
        <v>0</v>
      </c>
      <c r="H564" s="89">
        <f t="shared" si="45"/>
        <v>0</v>
      </c>
      <c r="I564" s="89">
        <f t="shared" si="45"/>
        <v>0</v>
      </c>
      <c r="J564" s="89">
        <f t="shared" si="45"/>
        <v>0</v>
      </c>
      <c r="K564" s="89">
        <f t="shared" si="45"/>
        <v>0</v>
      </c>
      <c r="L564" s="89">
        <f t="shared" si="45"/>
        <v>0</v>
      </c>
      <c r="M564" s="8"/>
      <c r="N564" s="271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1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0</v>
      </c>
      <c r="G566" s="18">
        <v>0</v>
      </c>
      <c r="H566" s="18">
        <v>0</v>
      </c>
      <c r="I566" s="18">
        <v>0</v>
      </c>
      <c r="J566" s="18">
        <v>0</v>
      </c>
      <c r="K566" s="18">
        <v>0</v>
      </c>
      <c r="L566" s="88">
        <f>SUM(F566:K566)</f>
        <v>0</v>
      </c>
      <c r="M566" s="8"/>
      <c r="N566" s="271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71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1"/>
    </row>
    <row r="569" spans="1:14" s="3" customFormat="1" ht="12" customHeight="1" thickTop="1" thickBot="1" x14ac:dyDescent="0.2">
      <c r="A569" s="130" t="s">
        <v>67</v>
      </c>
      <c r="B569" s="190">
        <v>22</v>
      </c>
      <c r="C569" s="190">
        <v>12</v>
      </c>
      <c r="D569" s="196" t="s">
        <v>433</v>
      </c>
      <c r="E569" s="190"/>
      <c r="F569" s="192">
        <f>SUM(F566:F568)</f>
        <v>0</v>
      </c>
      <c r="G569" s="192">
        <f t="shared" ref="G569:L569" si="46">SUM(G566:G568)</f>
        <v>0</v>
      </c>
      <c r="H569" s="192">
        <f t="shared" si="46"/>
        <v>0</v>
      </c>
      <c r="I569" s="192">
        <f t="shared" si="46"/>
        <v>0</v>
      </c>
      <c r="J569" s="192">
        <f t="shared" si="46"/>
        <v>0</v>
      </c>
      <c r="K569" s="192">
        <f t="shared" si="46"/>
        <v>0</v>
      </c>
      <c r="L569" s="192">
        <f t="shared" si="46"/>
        <v>0</v>
      </c>
      <c r="M569" s="8"/>
      <c r="N569" s="271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7" t="s">
        <v>433</v>
      </c>
      <c r="E570" s="107"/>
      <c r="F570" s="89">
        <f>F559+F564+F569</f>
        <v>0</v>
      </c>
      <c r="G570" s="89">
        <f t="shared" ref="G570:L570" si="47">G559+G564+G569</f>
        <v>0</v>
      </c>
      <c r="H570" s="89">
        <f t="shared" si="47"/>
        <v>0</v>
      </c>
      <c r="I570" s="89">
        <f t="shared" si="47"/>
        <v>0</v>
      </c>
      <c r="J570" s="89">
        <f t="shared" si="47"/>
        <v>0</v>
      </c>
      <c r="K570" s="89">
        <f t="shared" si="47"/>
        <v>0</v>
      </c>
      <c r="L570" s="89">
        <f t="shared" si="47"/>
        <v>0</v>
      </c>
      <c r="M570" s="8"/>
      <c r="N570" s="271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1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1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>
        <v>0</v>
      </c>
      <c r="H574" s="18">
        <v>2249191.65</v>
      </c>
      <c r="I574" s="87">
        <f>SUM(F574:H574)</f>
        <v>2249191.65</v>
      </c>
      <c r="J574" s="24" t="s">
        <v>289</v>
      </c>
      <c r="K574" s="24" t="s">
        <v>289</v>
      </c>
      <c r="L574" s="24" t="s">
        <v>289</v>
      </c>
      <c r="M574" s="8"/>
      <c r="N574" s="271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ref="I575:I586" si="48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1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0</v>
      </c>
      <c r="I576" s="87">
        <f t="shared" si="48"/>
        <v>0</v>
      </c>
      <c r="J576" s="24" t="s">
        <v>289</v>
      </c>
      <c r="K576" s="24" t="s">
        <v>289</v>
      </c>
      <c r="L576" s="24" t="s">
        <v>289</v>
      </c>
      <c r="M576" s="8"/>
      <c r="N576" s="271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1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221695.11</v>
      </c>
      <c r="G578" s="18">
        <v>0</v>
      </c>
      <c r="H578" s="18">
        <v>49105.900000000009</v>
      </c>
      <c r="I578" s="87">
        <f t="shared" si="48"/>
        <v>270801.01</v>
      </c>
      <c r="J578" s="24" t="s">
        <v>289</v>
      </c>
      <c r="K578" s="24" t="s">
        <v>289</v>
      </c>
      <c r="L578" s="24" t="s">
        <v>289</v>
      </c>
      <c r="M578" s="8"/>
      <c r="N578" s="271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0</v>
      </c>
      <c r="H579" s="18">
        <v>0</v>
      </c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1"/>
    </row>
    <row r="580" spans="1:14" s="3" customFormat="1" ht="12" customHeight="1" x14ac:dyDescent="0.15">
      <c r="A580" s="145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0</v>
      </c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1"/>
    </row>
    <row r="581" spans="1:14" s="3" customFormat="1" ht="12" customHeight="1" x14ac:dyDescent="0.15">
      <c r="A581" s="145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177235.14</v>
      </c>
      <c r="G581" s="18">
        <v>0</v>
      </c>
      <c r="H581" s="18">
        <v>132260.41</v>
      </c>
      <c r="I581" s="87">
        <f t="shared" si="48"/>
        <v>309495.55000000005</v>
      </c>
      <c r="J581" s="24" t="s">
        <v>289</v>
      </c>
      <c r="K581" s="24" t="s">
        <v>289</v>
      </c>
      <c r="L581" s="24" t="s">
        <v>289</v>
      </c>
      <c r="M581" s="8"/>
      <c r="N581" s="271"/>
    </row>
    <row r="582" spans="1:14" s="3" customFormat="1" ht="12" customHeight="1" x14ac:dyDescent="0.15">
      <c r="A582" s="145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>
        <v>0</v>
      </c>
      <c r="H582" s="18">
        <v>0</v>
      </c>
      <c r="I582" s="87">
        <f t="shared" si="48"/>
        <v>0</v>
      </c>
      <c r="J582" s="24" t="s">
        <v>289</v>
      </c>
      <c r="K582" s="24" t="s">
        <v>289</v>
      </c>
      <c r="L582" s="24" t="s">
        <v>289</v>
      </c>
      <c r="M582" s="8"/>
      <c r="N582" s="271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>
        <v>0</v>
      </c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1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>
        <v>0</v>
      </c>
      <c r="G584" s="18">
        <v>0</v>
      </c>
      <c r="H584" s="18">
        <v>0</v>
      </c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1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>
        <v>0</v>
      </c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1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>
        <v>0</v>
      </c>
      <c r="H586" s="18">
        <v>0</v>
      </c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1"/>
    </row>
    <row r="587" spans="1:14" s="3" customFormat="1" ht="12" customHeight="1" x14ac:dyDescent="0.15">
      <c r="A587" s="172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1"/>
    </row>
    <row r="588" spans="1:14" s="3" customFormat="1" ht="12" customHeight="1" x14ac:dyDescent="0.15">
      <c r="A588" s="146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1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L207-H591-H592-H593-H594-H595-H596</f>
        <v>198674.33999999997</v>
      </c>
      <c r="I590" s="18">
        <v>0</v>
      </c>
      <c r="J590" s="18">
        <f>L243-J591-J592-J593-J594-J595-J596</f>
        <v>106978.48999999998</v>
      </c>
      <c r="K590" s="104">
        <f t="shared" ref="K590:K596" si="49">SUM(H590:J590)</f>
        <v>305652.82999999996</v>
      </c>
      <c r="L590" s="24" t="s">
        <v>289</v>
      </c>
      <c r="M590" s="8"/>
      <c r="N590" s="271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L540</f>
        <v>107374.98999999999</v>
      </c>
      <c r="I591" s="18">
        <v>0</v>
      </c>
      <c r="J591" s="18">
        <f>L542</f>
        <v>57817.3</v>
      </c>
      <c r="K591" s="104">
        <f t="shared" si="49"/>
        <v>165192.28999999998</v>
      </c>
      <c r="L591" s="24" t="s">
        <v>289</v>
      </c>
      <c r="M591" s="8"/>
      <c r="N591" s="271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0</v>
      </c>
      <c r="K592" s="104">
        <f t="shared" si="49"/>
        <v>0</v>
      </c>
      <c r="L592" s="24" t="s">
        <v>289</v>
      </c>
      <c r="M592" s="8"/>
      <c r="N592" s="271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9"/>
        <v>0</v>
      </c>
      <c r="L593" s="24" t="s">
        <v>289</v>
      </c>
      <c r="M593" s="8"/>
      <c r="N593" s="271"/>
    </row>
    <row r="594" spans="1:14" s="3" customFormat="1" ht="12" customHeight="1" x14ac:dyDescent="0.15">
      <c r="A594" s="170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0</v>
      </c>
      <c r="I594" s="18">
        <v>0</v>
      </c>
      <c r="J594" s="18">
        <v>0</v>
      </c>
      <c r="K594" s="104">
        <f t="shared" si="49"/>
        <v>0</v>
      </c>
      <c r="L594" s="24" t="s">
        <v>289</v>
      </c>
      <c r="M594" s="8"/>
      <c r="N594" s="271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49"/>
        <v>0</v>
      </c>
      <c r="L595" s="24" t="s">
        <v>289</v>
      </c>
      <c r="M595" s="8"/>
      <c r="N595" s="271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9"/>
        <v>0</v>
      </c>
      <c r="L596" s="24" t="s">
        <v>289</v>
      </c>
      <c r="M596" s="8"/>
      <c r="N596" s="271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7">
        <v>2700</v>
      </c>
      <c r="G597" s="148" t="s">
        <v>97</v>
      </c>
      <c r="H597" s="108">
        <f>SUM(H590:H596)</f>
        <v>306049.32999999996</v>
      </c>
      <c r="I597" s="108">
        <f>SUM(I590:I596)</f>
        <v>0</v>
      </c>
      <c r="J597" s="108">
        <f>SUM(J590:J596)</f>
        <v>164795.78999999998</v>
      </c>
      <c r="K597" s="108">
        <f>SUM(K590:K596)</f>
        <v>470845.11999999994</v>
      </c>
      <c r="L597" s="24" t="s">
        <v>289</v>
      </c>
      <c r="M597" s="8"/>
      <c r="N597" s="271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1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1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>
        <v>0</v>
      </c>
      <c r="K601" s="104">
        <f>SUM(H601:J601)</f>
        <v>0</v>
      </c>
      <c r="L601" s="24" t="s">
        <v>289</v>
      </c>
      <c r="M601" s="8"/>
      <c r="N601" s="271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1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J210+J289</f>
        <v>37602.92</v>
      </c>
      <c r="I603" s="18">
        <v>0</v>
      </c>
      <c r="J603" s="18">
        <f>J246+J327</f>
        <v>1120.46</v>
      </c>
      <c r="K603" s="104">
        <f>SUM(H603:J603)</f>
        <v>38723.379999999997</v>
      </c>
      <c r="L603" s="24" t="s">
        <v>289</v>
      </c>
      <c r="M603" s="8"/>
      <c r="N603" s="271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8" t="s">
        <v>477</v>
      </c>
      <c r="G604" s="147">
        <v>700</v>
      </c>
      <c r="H604" s="108">
        <f>SUM(H601:H603)</f>
        <v>37602.92</v>
      </c>
      <c r="I604" s="108">
        <f>SUM(I601:I603)</f>
        <v>0</v>
      </c>
      <c r="J604" s="108">
        <f>SUM(J601:J603)</f>
        <v>1120.46</v>
      </c>
      <c r="K604" s="108">
        <f>SUM(K601:K603)</f>
        <v>38723.379999999997</v>
      </c>
      <c r="L604" s="24" t="s">
        <v>289</v>
      </c>
      <c r="M604" s="8"/>
      <c r="N604" s="271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1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" customHeight="1" x14ac:dyDescent="0.15">
      <c r="B608" s="105"/>
      <c r="C608" s="105"/>
      <c r="D608" s="105"/>
      <c r="E608" s="105"/>
      <c r="F608" s="176" t="s">
        <v>693</v>
      </c>
      <c r="G608" s="176" t="s">
        <v>694</v>
      </c>
      <c r="H608" s="176" t="s">
        <v>695</v>
      </c>
      <c r="I608" s="176" t="s">
        <v>696</v>
      </c>
      <c r="J608" s="176" t="s">
        <v>697</v>
      </c>
      <c r="K608" s="176" t="s">
        <v>698</v>
      </c>
      <c r="L608" s="88"/>
      <c r="M608" s="8"/>
      <c r="N608" s="271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1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13998.55</v>
      </c>
      <c r="G610" s="18">
        <f>ROUND(F610*(0.0765+0.112),2)</f>
        <v>2638.73</v>
      </c>
      <c r="H610" s="18">
        <v>0</v>
      </c>
      <c r="I610" s="18">
        <v>0</v>
      </c>
      <c r="J610" s="18">
        <v>0</v>
      </c>
      <c r="K610" s="18">
        <v>0</v>
      </c>
      <c r="L610" s="88">
        <f>SUM(F610:K610)</f>
        <v>16637.28</v>
      </c>
      <c r="M610" s="8"/>
      <c r="N610" s="271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  <c r="N611" s="271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1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0">SUM(F610:F612)</f>
        <v>13998.55</v>
      </c>
      <c r="G613" s="108">
        <f t="shared" si="50"/>
        <v>2638.73</v>
      </c>
      <c r="H613" s="108">
        <f t="shared" si="50"/>
        <v>0</v>
      </c>
      <c r="I613" s="108">
        <f t="shared" si="50"/>
        <v>0</v>
      </c>
      <c r="J613" s="108">
        <f t="shared" si="50"/>
        <v>0</v>
      </c>
      <c r="K613" s="108">
        <f t="shared" si="50"/>
        <v>0</v>
      </c>
      <c r="L613" s="89">
        <f t="shared" si="50"/>
        <v>16637.28</v>
      </c>
      <c r="M613" s="8"/>
      <c r="N613" s="271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49" t="s">
        <v>53</v>
      </c>
      <c r="G615" s="150"/>
      <c r="H615" s="150"/>
      <c r="I615" s="149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845264.10000000009</v>
      </c>
      <c r="H616" s="109">
        <f>SUM(F51)</f>
        <v>845264.1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23177.48</v>
      </c>
      <c r="H617" s="109">
        <f>SUM(G51)</f>
        <v>23177.480000000003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69700.87</v>
      </c>
      <c r="H618" s="109">
        <f>SUM(H51)</f>
        <v>69700.87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175961.73</v>
      </c>
      <c r="H620" s="109">
        <f>SUM(J51)</f>
        <v>175961.73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770876</v>
      </c>
      <c r="H621" s="109">
        <f>F475</f>
        <v>770876</v>
      </c>
      <c r="I621" s="121" t="s">
        <v>101</v>
      </c>
      <c r="J621" s="109">
        <f t="shared" ref="J621:J654" si="51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1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175961.73</v>
      </c>
      <c r="H625" s="109">
        <f>J475</f>
        <v>175961.72999999998</v>
      </c>
      <c r="I625" s="140" t="s">
        <v>105</v>
      </c>
      <c r="J625" s="109">
        <f t="shared" si="51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9165312.4299999997</v>
      </c>
      <c r="H626" s="104">
        <f>SUM(F467)</f>
        <v>9165312.4299999997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160820.43000000002</v>
      </c>
      <c r="H627" s="104">
        <f>SUM(G467)</f>
        <v>160820.43000000002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230561.04000000004</v>
      </c>
      <c r="H628" s="104">
        <f>SUM(H467)</f>
        <v>230561.04000000004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249700</v>
      </c>
      <c r="H630" s="104">
        <f>SUM(J467)</f>
        <v>249700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8740003.0999999996</v>
      </c>
      <c r="H631" s="104">
        <f>SUM(F471)</f>
        <v>8740003.0999999996</v>
      </c>
      <c r="I631" s="140" t="s">
        <v>111</v>
      </c>
      <c r="J631" s="109">
        <f t="shared" si="51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230561.03999999998</v>
      </c>
      <c r="H632" s="104">
        <f>SUM(H471)</f>
        <v>230561.03999999998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14481.85</v>
      </c>
      <c r="H633" s="104">
        <f>I368</f>
        <v>14481.85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8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160820.43</v>
      </c>
      <c r="H634" s="104">
        <f>SUM(G471)</f>
        <v>160820.43</v>
      </c>
      <c r="I634" s="140" t="s">
        <v>114</v>
      </c>
      <c r="J634" s="109">
        <f t="shared" si="51"/>
        <v>0</v>
      </c>
      <c r="K634" s="85"/>
      <c r="L634" s="88"/>
      <c r="M634" s="167"/>
    </row>
    <row r="635" spans="1:13" s="168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1"/>
        <v>0</v>
      </c>
      <c r="K635" s="85"/>
      <c r="L635" s="88"/>
      <c r="M635" s="167"/>
    </row>
    <row r="636" spans="1:13" s="3" customFormat="1" ht="12" customHeight="1" x14ac:dyDescent="0.15">
      <c r="A636" s="160"/>
      <c r="B636" s="161"/>
      <c r="C636" s="161"/>
      <c r="D636" s="161"/>
      <c r="E636" s="161"/>
      <c r="F636" s="162" t="s">
        <v>478</v>
      </c>
      <c r="G636" s="150">
        <f>SUM(L407)</f>
        <v>249700</v>
      </c>
      <c r="H636" s="163">
        <f>SUM(J467)</f>
        <v>249700</v>
      </c>
      <c r="I636" s="164" t="s">
        <v>110</v>
      </c>
      <c r="J636" s="150">
        <f t="shared" si="51"/>
        <v>0</v>
      </c>
      <c r="K636" s="165"/>
      <c r="L636" s="166"/>
      <c r="M636" s="8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479</v>
      </c>
      <c r="G637" s="150">
        <f>SUM(L433)</f>
        <v>273278.89</v>
      </c>
      <c r="H637" s="163">
        <f>SUM(J471)</f>
        <v>273278.89</v>
      </c>
      <c r="I637" s="164" t="s">
        <v>117</v>
      </c>
      <c r="J637" s="150">
        <f t="shared" si="51"/>
        <v>0</v>
      </c>
      <c r="K637" s="165"/>
      <c r="L637" s="166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175961.73</v>
      </c>
      <c r="H638" s="104">
        <f>SUM(F460)</f>
        <v>175961.73</v>
      </c>
      <c r="I638" s="140" t="s">
        <v>857</v>
      </c>
      <c r="J638" s="109">
        <f t="shared" si="51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175961.73</v>
      </c>
      <c r="H641" s="104">
        <f>SUM(I460)</f>
        <v>175961.73</v>
      </c>
      <c r="I641" s="140" t="s">
        <v>860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249700</v>
      </c>
      <c r="H644" s="104">
        <f>G407</f>
        <v>249700</v>
      </c>
      <c r="I644" s="140" t="s">
        <v>482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249700</v>
      </c>
      <c r="H645" s="104">
        <f>L407</f>
        <v>249700</v>
      </c>
      <c r="I645" s="140" t="s">
        <v>478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470845.11999999994</v>
      </c>
      <c r="H646" s="104">
        <f>L207+L225+L243</f>
        <v>470845.11999999994</v>
      </c>
      <c r="I646" s="140" t="s">
        <v>397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38723.379999999997</v>
      </c>
      <c r="H647" s="104">
        <f>(J256+J337)-(J254+J335)</f>
        <v>38723.379999999997</v>
      </c>
      <c r="I647" s="140" t="s">
        <v>703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306049.32999999996</v>
      </c>
      <c r="H648" s="104">
        <f>H597</f>
        <v>306049.32999999996</v>
      </c>
      <c r="I648" s="140" t="s">
        <v>389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164795.78999999998</v>
      </c>
      <c r="H650" s="104">
        <f>J597</f>
        <v>164795.78999999998</v>
      </c>
      <c r="I650" s="140" t="s">
        <v>391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17793.599999999999</v>
      </c>
      <c r="H651" s="104">
        <f>K262+K344</f>
        <v>17793.599999999999</v>
      </c>
      <c r="I651" s="140" t="s">
        <v>398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249700</v>
      </c>
      <c r="H654" s="104">
        <f>K265+K346</f>
        <v>249700</v>
      </c>
      <c r="I654" s="140" t="s">
        <v>401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6103992.919999999</v>
      </c>
      <c r="G659" s="19">
        <f>(L228+L308+L358)</f>
        <v>0</v>
      </c>
      <c r="H659" s="19">
        <f>(L246+L327+L359)</f>
        <v>2595353.75</v>
      </c>
      <c r="I659" s="19">
        <f>SUM(F659:H659)</f>
        <v>8699346.6699999981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41032.03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41032.03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303968.46999999997</v>
      </c>
      <c r="G661" s="19">
        <f>(L225+L305)-(J225+J305)</f>
        <v>0</v>
      </c>
      <c r="H661" s="19">
        <f>(L243+L324)-(J243+J324)</f>
        <v>163675.32999999999</v>
      </c>
      <c r="I661" s="19">
        <f>SUM(F661:H661)</f>
        <v>467643.79999999993</v>
      </c>
      <c r="J661"/>
      <c r="K661" s="13"/>
      <c r="L661" s="13"/>
      <c r="M661" s="8"/>
    </row>
    <row r="662" spans="1:13" s="3" customFormat="1" ht="12" customHeight="1" x14ac:dyDescent="0.15">
      <c r="A662" s="197" t="s">
        <v>129</v>
      </c>
      <c r="B662" s="168"/>
      <c r="C662" s="168"/>
      <c r="D662" s="168"/>
      <c r="E662" s="168"/>
      <c r="F662" s="198">
        <f>SUM(F574:F586)+SUM(H601:H603)+SUM(L610)</f>
        <v>453170.44999999995</v>
      </c>
      <c r="G662" s="198">
        <f>SUM(G574:G586)+SUM(I601:I603)+L611</f>
        <v>0</v>
      </c>
      <c r="H662" s="198">
        <f>SUM(H574:H586)+SUM(J601:J603)+L612</f>
        <v>2431678.42</v>
      </c>
      <c r="I662" s="19">
        <f>SUM(F662:H662)</f>
        <v>2884848.87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5305821.9699999988</v>
      </c>
      <c r="G663" s="19">
        <f>G659-SUM(G660:G662)</f>
        <v>0</v>
      </c>
      <c r="H663" s="19">
        <f>H659-SUM(H660:H662)</f>
        <v>0</v>
      </c>
      <c r="I663" s="19">
        <f>I659-SUM(I660:I662)</f>
        <v>5305821.9699999979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6">
        <v>420.33</v>
      </c>
      <c r="G664" s="247"/>
      <c r="H664" s="247"/>
      <c r="I664" s="19">
        <f>SUM(F664:H664)</f>
        <v>420.33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12622.99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12622.99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12622.99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12622.99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SAU# 64 - Wakefield School District</v>
      </c>
      <c r="C1" s="237" t="s">
        <v>839</v>
      </c>
    </row>
    <row r="2" spans="1:3" x14ac:dyDescent="0.2">
      <c r="A2" s="232"/>
      <c r="B2" s="231"/>
    </row>
    <row r="3" spans="1:3" x14ac:dyDescent="0.2">
      <c r="A3" s="276" t="s">
        <v>784</v>
      </c>
      <c r="B3" s="276"/>
      <c r="C3" s="276"/>
    </row>
    <row r="4" spans="1:3" x14ac:dyDescent="0.2">
      <c r="A4" s="235"/>
      <c r="B4" s="236" t="str">
        <f>'DOE25'!H1</f>
        <v>DOE 25  2012-2013</v>
      </c>
      <c r="C4" s="235"/>
    </row>
    <row r="5" spans="1:3" x14ac:dyDescent="0.2">
      <c r="A5" s="232"/>
      <c r="B5" s="231"/>
    </row>
    <row r="6" spans="1:3" x14ac:dyDescent="0.2">
      <c r="A6" s="226"/>
      <c r="B6" s="275" t="s">
        <v>783</v>
      </c>
      <c r="C6" s="275"/>
    </row>
    <row r="7" spans="1:3" x14ac:dyDescent="0.2">
      <c r="A7" s="238" t="s">
        <v>786</v>
      </c>
      <c r="B7" s="273" t="s">
        <v>782</v>
      </c>
      <c r="C7" s="274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'DOE25'!F196+'DOE25'!F214+'DOE25'!F232+'DOE25'!F275+'DOE25'!F294+'DOE25'!F313</f>
        <v>1554118.01</v>
      </c>
      <c r="C9" s="228">
        <f>'DOE25'!G196+'DOE25'!G214+'DOE25'!G232+'DOE25'!G275+'DOE25'!G294+'DOE25'!G313</f>
        <v>753448.22000000009</v>
      </c>
    </row>
    <row r="10" spans="1:3" x14ac:dyDescent="0.2">
      <c r="A10" t="s">
        <v>779</v>
      </c>
      <c r="B10" s="239">
        <v>1524763.01</v>
      </c>
      <c r="C10" s="239">
        <v>748825.05999999994</v>
      </c>
    </row>
    <row r="11" spans="1:3" x14ac:dyDescent="0.2">
      <c r="A11" t="s">
        <v>780</v>
      </c>
      <c r="B11" s="239">
        <v>0</v>
      </c>
      <c r="C11" s="239">
        <v>0</v>
      </c>
    </row>
    <row r="12" spans="1:3" x14ac:dyDescent="0.2">
      <c r="A12" t="s">
        <v>781</v>
      </c>
      <c r="B12" s="239">
        <v>29355</v>
      </c>
      <c r="C12" s="239">
        <v>4623.1600000000008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1554118.01</v>
      </c>
      <c r="C13" s="230">
        <f>SUM(C10:C12)</f>
        <v>753448.22</v>
      </c>
    </row>
    <row r="14" spans="1:3" x14ac:dyDescent="0.2">
      <c r="B14" s="229"/>
      <c r="C14" s="229"/>
    </row>
    <row r="15" spans="1:3" x14ac:dyDescent="0.2">
      <c r="B15" s="275" t="s">
        <v>783</v>
      </c>
      <c r="C15" s="275"/>
    </row>
    <row r="16" spans="1:3" x14ac:dyDescent="0.2">
      <c r="A16" s="238" t="s">
        <v>787</v>
      </c>
      <c r="B16" s="273" t="s">
        <v>707</v>
      </c>
      <c r="C16" s="274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'DOE25'!F197+'DOE25'!F215+'DOE25'!F233+'DOE25'!F276+'DOE25'!F295+'DOE25'!F314</f>
        <v>647015.61</v>
      </c>
      <c r="C18" s="228">
        <f>'DOE25'!G197+'DOE25'!G215+'DOE25'!G233+'DOE25'!G276+'DOE25'!G295+'DOE25'!G314</f>
        <v>196465.17</v>
      </c>
    </row>
    <row r="19" spans="1:3" x14ac:dyDescent="0.2">
      <c r="A19" t="s">
        <v>779</v>
      </c>
      <c r="B19" s="239">
        <v>250553.56999999998</v>
      </c>
      <c r="C19" s="239">
        <v>121229.06</v>
      </c>
    </row>
    <row r="20" spans="1:3" x14ac:dyDescent="0.2">
      <c r="A20" t="s">
        <v>780</v>
      </c>
      <c r="B20" s="239">
        <v>377386.84</v>
      </c>
      <c r="C20" s="239">
        <v>71946.070000000007</v>
      </c>
    </row>
    <row r="21" spans="1:3" x14ac:dyDescent="0.2">
      <c r="A21" t="s">
        <v>781</v>
      </c>
      <c r="B21" s="239">
        <v>19075.2</v>
      </c>
      <c r="C21" s="239">
        <v>3290.04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647015.61</v>
      </c>
      <c r="C22" s="230">
        <f>SUM(C19:C21)</f>
        <v>196465.17</v>
      </c>
    </row>
    <row r="23" spans="1:3" x14ac:dyDescent="0.2">
      <c r="B23" s="229"/>
      <c r="C23" s="229"/>
    </row>
    <row r="24" spans="1:3" x14ac:dyDescent="0.2">
      <c r="B24" s="275" t="s">
        <v>783</v>
      </c>
      <c r="C24" s="275"/>
    </row>
    <row r="25" spans="1:3" x14ac:dyDescent="0.2">
      <c r="A25" s="238" t="s">
        <v>788</v>
      </c>
      <c r="B25" s="273" t="s">
        <v>708</v>
      </c>
      <c r="C25" s="274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'DOE25'!F198+'DOE25'!F216+'DOE25'!F234+'DOE25'!F277+'DOE25'!F296+'DOE25'!F315</f>
        <v>0</v>
      </c>
      <c r="C27" s="233">
        <f>'DOE25'!G198+'DOE25'!G216+'DOE25'!G234+'DOE25'!G277+'DOE25'!G296+'DOE25'!G315</f>
        <v>0</v>
      </c>
    </row>
    <row r="28" spans="1:3" x14ac:dyDescent="0.2">
      <c r="A28" t="s">
        <v>779</v>
      </c>
      <c r="B28" s="239">
        <v>0</v>
      </c>
      <c r="C28" s="239">
        <v>0</v>
      </c>
    </row>
    <row r="29" spans="1:3" x14ac:dyDescent="0.2">
      <c r="A29" t="s">
        <v>780</v>
      </c>
      <c r="B29" s="239">
        <v>0</v>
      </c>
      <c r="C29" s="239">
        <v>0</v>
      </c>
    </row>
    <row r="30" spans="1:3" x14ac:dyDescent="0.2">
      <c r="A30" t="s">
        <v>781</v>
      </c>
      <c r="B30" s="239">
        <v>0</v>
      </c>
      <c r="C30" s="239">
        <v>0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5" t="s">
        <v>783</v>
      </c>
      <c r="C33" s="275"/>
    </row>
    <row r="34" spans="1:3" x14ac:dyDescent="0.2">
      <c r="A34" s="238" t="s">
        <v>789</v>
      </c>
      <c r="B34" s="273" t="s">
        <v>709</v>
      </c>
      <c r="C34" s="274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'DOE25'!F199+'DOE25'!F217+'DOE25'!F235+'DOE25'!F278+'DOE25'!F297+'DOE25'!F316</f>
        <v>24134.3</v>
      </c>
      <c r="C36" s="234">
        <f>'DOE25'!G199+'DOE25'!G217+'DOE25'!G235+'DOE25'!G278+'DOE25'!G297+'DOE25'!G316</f>
        <v>3739.48</v>
      </c>
    </row>
    <row r="37" spans="1:3" x14ac:dyDescent="0.2">
      <c r="A37" t="s">
        <v>779</v>
      </c>
      <c r="B37" s="239">
        <v>16298</v>
      </c>
      <c r="C37" s="239">
        <v>3618.19</v>
      </c>
    </row>
    <row r="38" spans="1:3" x14ac:dyDescent="0.2">
      <c r="A38" t="s">
        <v>780</v>
      </c>
      <c r="B38" s="239">
        <v>7836.3</v>
      </c>
      <c r="C38" s="239">
        <v>121.29</v>
      </c>
    </row>
    <row r="39" spans="1:3" x14ac:dyDescent="0.2">
      <c r="A39" t="s">
        <v>781</v>
      </c>
      <c r="B39" s="239"/>
      <c r="C39" s="239"/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24134.3</v>
      </c>
      <c r="C40" s="230">
        <f>SUM(C37:C39)</f>
        <v>3739.48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0"/>
    </row>
    <row r="2" spans="1:9" x14ac:dyDescent="0.2">
      <c r="A2" s="33" t="s">
        <v>717</v>
      </c>
      <c r="B2" s="264" t="str">
        <f>'DOE25'!A2</f>
        <v>SAU# 64 - Wakefield School District</v>
      </c>
      <c r="C2" s="180"/>
      <c r="D2" s="180" t="s">
        <v>792</v>
      </c>
      <c r="E2" s="180" t="s">
        <v>794</v>
      </c>
      <c r="F2" s="277" t="s">
        <v>821</v>
      </c>
      <c r="G2" s="278"/>
      <c r="H2" s="279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6229527.8800000008</v>
      </c>
      <c r="D5" s="20">
        <f>SUM('DOE25'!L196:L199)+SUM('DOE25'!L214:L217)+SUM('DOE25'!L232:L235)-F5-G5</f>
        <v>6210889.0600000005</v>
      </c>
      <c r="E5" s="242"/>
      <c r="F5" s="254">
        <f>SUM('DOE25'!J196:J199)+SUM('DOE25'!J214:J217)+SUM('DOE25'!J232:J235)</f>
        <v>18158.32</v>
      </c>
      <c r="G5" s="53">
        <f>SUM('DOE25'!K196:K199)+SUM('DOE25'!K214:K217)+SUM('DOE25'!K232:K235)</f>
        <v>480.5</v>
      </c>
      <c r="H5" s="258"/>
    </row>
    <row r="6" spans="1:9" x14ac:dyDescent="0.2">
      <c r="A6" s="32">
        <v>2100</v>
      </c>
      <c r="B6" t="s">
        <v>801</v>
      </c>
      <c r="C6" s="244">
        <f t="shared" si="0"/>
        <v>226748.80000000002</v>
      </c>
      <c r="D6" s="20">
        <f>'DOE25'!L201+'DOE25'!L219+'DOE25'!L237-F6-G6</f>
        <v>226539.80000000002</v>
      </c>
      <c r="E6" s="242"/>
      <c r="F6" s="254">
        <f>'DOE25'!J201+'DOE25'!J219+'DOE25'!J237</f>
        <v>0</v>
      </c>
      <c r="G6" s="53">
        <f>'DOE25'!K201+'DOE25'!K219+'DOE25'!K237</f>
        <v>209</v>
      </c>
      <c r="H6" s="258"/>
    </row>
    <row r="7" spans="1:9" x14ac:dyDescent="0.2">
      <c r="A7" s="32">
        <v>2200</v>
      </c>
      <c r="B7" t="s">
        <v>834</v>
      </c>
      <c r="C7" s="244">
        <f t="shared" si="0"/>
        <v>103047.73999999999</v>
      </c>
      <c r="D7" s="20">
        <f>'DOE25'!L202+'DOE25'!L220+'DOE25'!L238-F7-G7</f>
        <v>97936.329999999987</v>
      </c>
      <c r="E7" s="242"/>
      <c r="F7" s="254">
        <f>'DOE25'!J202+'DOE25'!J220+'DOE25'!J238</f>
        <v>5111.41</v>
      </c>
      <c r="G7" s="53">
        <f>'DOE25'!K202+'DOE25'!K220+'DOE25'!K238</f>
        <v>0</v>
      </c>
      <c r="H7" s="258"/>
    </row>
    <row r="8" spans="1:9" x14ac:dyDescent="0.2">
      <c r="A8" s="32">
        <v>2300</v>
      </c>
      <c r="B8" t="s">
        <v>802</v>
      </c>
      <c r="C8" s="244">
        <f t="shared" si="0"/>
        <v>290269.52000000008</v>
      </c>
      <c r="D8" s="242"/>
      <c r="E8" s="20">
        <f>'DOE25'!L203+'DOE25'!L221+'DOE25'!L239-F8-G8-D9-D11</f>
        <v>285292.24000000005</v>
      </c>
      <c r="F8" s="254">
        <f>'DOE25'!J203+'DOE25'!J221+'DOE25'!J239</f>
        <v>0</v>
      </c>
      <c r="G8" s="53">
        <f>'DOE25'!K203+'DOE25'!K221+'DOE25'!K239</f>
        <v>4977.28</v>
      </c>
      <c r="H8" s="258"/>
    </row>
    <row r="9" spans="1:9" x14ac:dyDescent="0.2">
      <c r="A9" s="32">
        <v>2310</v>
      </c>
      <c r="B9" t="s">
        <v>818</v>
      </c>
      <c r="C9" s="244">
        <f t="shared" si="0"/>
        <v>73124.479999999996</v>
      </c>
      <c r="D9" s="243">
        <v>73124.479999999996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10838.5</v>
      </c>
      <c r="D10" s="242"/>
      <c r="E10" s="243">
        <v>10838.5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212061.43</v>
      </c>
      <c r="D11" s="243">
        <v>212061.43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272083.08999999997</v>
      </c>
      <c r="D12" s="20">
        <f>'DOE25'!L204+'DOE25'!L222+'DOE25'!L240-F12-G12</f>
        <v>270001.13999999996</v>
      </c>
      <c r="E12" s="242"/>
      <c r="F12" s="254">
        <f>'DOE25'!J204+'DOE25'!J222+'DOE25'!J240</f>
        <v>0</v>
      </c>
      <c r="G12" s="53">
        <f>'DOE25'!K204+'DOE25'!K222+'DOE25'!K240</f>
        <v>2081.9499999999998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0</v>
      </c>
      <c r="D13" s="242"/>
      <c r="E13" s="20">
        <f>'DOE25'!L205+'DOE25'!L223+'DOE25'!L241-F13-G13</f>
        <v>0</v>
      </c>
      <c r="F13" s="254">
        <f>'DOE25'!J205+'DOE25'!J223+'DOE25'!J241</f>
        <v>0</v>
      </c>
      <c r="G13" s="53">
        <f>'DOE25'!K205+'DOE25'!K223+'DOE25'!K241</f>
        <v>0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395513.85000000003</v>
      </c>
      <c r="D14" s="20">
        <f>'DOE25'!L206+'DOE25'!L224+'DOE25'!L242-F14-G14</f>
        <v>387304.46</v>
      </c>
      <c r="E14" s="242"/>
      <c r="F14" s="254">
        <f>'DOE25'!J206+'DOE25'!J224+'DOE25'!J242</f>
        <v>8174.39</v>
      </c>
      <c r="G14" s="53">
        <f>'DOE25'!K206+'DOE25'!K224+'DOE25'!K242</f>
        <v>35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470845.11999999994</v>
      </c>
      <c r="D15" s="20">
        <f>'DOE25'!L207+'DOE25'!L225+'DOE25'!L243-F15-G15</f>
        <v>460868.15999999992</v>
      </c>
      <c r="E15" s="242"/>
      <c r="F15" s="254">
        <f>'DOE25'!J207+'DOE25'!J225+'DOE25'!J243</f>
        <v>3201.32</v>
      </c>
      <c r="G15" s="53">
        <f>'DOE25'!K207+'DOE25'!K225+'DOE25'!K243</f>
        <v>6775.6399999999994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34743.29</v>
      </c>
      <c r="D16" s="242"/>
      <c r="E16" s="20">
        <f>'DOE25'!L208+'DOE25'!L226+'DOE25'!L244-F16-G16</f>
        <v>30665.350000000002</v>
      </c>
      <c r="F16" s="254">
        <f>'DOE25'!J208+'DOE25'!J226+'DOE25'!J244</f>
        <v>4077.94</v>
      </c>
      <c r="G16" s="53">
        <f>'DOE25'!K208+'DOE25'!K226+'DOE25'!K244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'DOE25'!L250-F17-G17</f>
        <v>0</v>
      </c>
      <c r="E17" s="242"/>
      <c r="F17" s="254">
        <f>'DOE25'!J250</f>
        <v>0</v>
      </c>
      <c r="G17" s="53">
        <f>'DOE25'!K250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'DOE25'!L251-F18-G18</f>
        <v>0</v>
      </c>
      <c r="E18" s="242"/>
      <c r="F18" s="254">
        <f>'DOE25'!J251</f>
        <v>0</v>
      </c>
      <c r="G18" s="53">
        <f>'DOE25'!K251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'DOE25'!L252-F19-G19</f>
        <v>0</v>
      </c>
      <c r="E19" s="242"/>
      <c r="F19" s="254">
        <f>'DOE25'!J252</f>
        <v>0</v>
      </c>
      <c r="G19" s="53">
        <f>'DOE25'!K252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0</v>
      </c>
      <c r="D22" s="242"/>
      <c r="E22" s="242"/>
      <c r="F22" s="254">
        <f>'DOE25'!L254+'DOE25'!L335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164544.29999999999</v>
      </c>
      <c r="D25" s="242"/>
      <c r="E25" s="242"/>
      <c r="F25" s="257"/>
      <c r="G25" s="255"/>
      <c r="H25" s="256">
        <f>'DOE25'!L259+'DOE25'!L260+'DOE25'!L340+'DOE25'!L341</f>
        <v>164544.29999999999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147316.75</v>
      </c>
      <c r="D29" s="20">
        <f>'DOE25'!L357+'DOE25'!L358+'DOE25'!L359-'DOE25'!I366-F29-G29</f>
        <v>147316.75</v>
      </c>
      <c r="E29" s="242"/>
      <c r="F29" s="254">
        <f>'DOE25'!J357+'DOE25'!J358+'DOE25'!J359</f>
        <v>0</v>
      </c>
      <c r="G29" s="53">
        <f>'DOE25'!K357+'DOE25'!K358+'DOE25'!K359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230561.03999999998</v>
      </c>
      <c r="D31" s="20">
        <f>'DOE25'!L289+'DOE25'!L308+'DOE25'!L327+'DOE25'!L332+'DOE25'!L333+'DOE25'!L334-F31-G31</f>
        <v>217541.72999999998</v>
      </c>
      <c r="E31" s="242"/>
      <c r="F31" s="254">
        <f>'DOE25'!J289+'DOE25'!J308+'DOE25'!J327+'DOE25'!J332+'DOE25'!J333+'DOE25'!J334</f>
        <v>0</v>
      </c>
      <c r="G31" s="53">
        <f>'DOE25'!K289+'DOE25'!K308+'DOE25'!K327+'DOE25'!K332+'DOE25'!K333+'DOE25'!K334</f>
        <v>13019.310000000001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8303583.3399999999</v>
      </c>
      <c r="E33" s="245">
        <f>SUM(E5:E31)</f>
        <v>326796.09000000003</v>
      </c>
      <c r="F33" s="245">
        <f>SUM(F5:F31)</f>
        <v>38723.380000000005</v>
      </c>
      <c r="G33" s="245">
        <f>SUM(G5:G31)</f>
        <v>27578.68</v>
      </c>
      <c r="H33" s="245">
        <f>SUM(H5:H31)</f>
        <v>164544.29999999999</v>
      </c>
    </row>
    <row r="35" spans="2:8" ht="12" thickBot="1" x14ac:dyDescent="0.25">
      <c r="B35" s="252" t="s">
        <v>847</v>
      </c>
      <c r="D35" s="253">
        <f>E33</f>
        <v>326796.09000000003</v>
      </c>
      <c r="E35" s="248"/>
    </row>
    <row r="36" spans="2:8" ht="12" thickTop="1" x14ac:dyDescent="0.2">
      <c r="B36" t="s">
        <v>815</v>
      </c>
      <c r="D36" s="20">
        <f>D33</f>
        <v>8303583.3399999999</v>
      </c>
    </row>
    <row r="38" spans="2:8" x14ac:dyDescent="0.2">
      <c r="B38" s="186" t="s">
        <v>903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21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SAU# 64 - Wakefield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500284.73000000004</v>
      </c>
      <c r="D8" s="95">
        <f>'DOE25'!G9</f>
        <v>975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58847.66</v>
      </c>
      <c r="D11" s="95">
        <f>'DOE25'!G12</f>
        <v>13901.47</v>
      </c>
      <c r="E11" s="95">
        <f>'DOE25'!H12</f>
        <v>0</v>
      </c>
      <c r="F11" s="95">
        <f>'DOE25'!I12</f>
        <v>0</v>
      </c>
      <c r="G11" s="95">
        <f>'DOE25'!J12</f>
        <v>175961.73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8301.01</v>
      </c>
      <c r="E12" s="95">
        <f>'DOE25'!H13</f>
        <v>69700.87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286131.71000000002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845264.10000000009</v>
      </c>
      <c r="D18" s="41">
        <f>SUM(D8:D17)</f>
        <v>23177.48</v>
      </c>
      <c r="E18" s="41">
        <f>SUM(E8:E17)</f>
        <v>69700.87</v>
      </c>
      <c r="F18" s="41">
        <f>SUM(F8:F17)</f>
        <v>0</v>
      </c>
      <c r="G18" s="41">
        <f>SUM(G8:G17)</f>
        <v>175961.73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722.36</v>
      </c>
      <c r="E21" s="95">
        <f>'DOE25'!H22</f>
        <v>69700.87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7286.31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74355.960000000006</v>
      </c>
      <c r="D23" s="95">
        <f>'DOE25'!G24</f>
        <v>15168.810000000001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32.14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74388.100000000006</v>
      </c>
      <c r="D31" s="41">
        <f>SUM(D21:D30)</f>
        <v>23177.480000000003</v>
      </c>
      <c r="E31" s="41">
        <f>SUM(E21:E30)</f>
        <v>69700.87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175961.73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670876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770876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175961.73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845264.1</v>
      </c>
      <c r="D50" s="41">
        <f>D49+D31</f>
        <v>23177.480000000003</v>
      </c>
      <c r="E50" s="41">
        <f>E49+E31</f>
        <v>69700.87</v>
      </c>
      <c r="F50" s="41">
        <f>F49+F31</f>
        <v>0</v>
      </c>
      <c r="G50" s="41">
        <f>G49+G31</f>
        <v>175961.73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5413013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41032.03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55273.74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55273.74</v>
      </c>
      <c r="D61" s="130">
        <f>SUM(D56:D60)</f>
        <v>41032.03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5468286.7400000002</v>
      </c>
      <c r="D62" s="22">
        <f>D55+D61</f>
        <v>41032.03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1448184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2097160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3545344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51063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'DOE25'!F125</f>
        <v>16584.36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 t="e">
        <f>'DOE25'!#REF!</f>
        <v>#REF!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 t="e">
        <f>SUM(C71:C76)</f>
        <v>#REF!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 t="e">
        <f>SUM(C78:C79)+C77+C69</f>
        <v>#REF!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84034.33</v>
      </c>
      <c r="D87" s="95">
        <f>SUM('DOE25'!G152:G160)</f>
        <v>101994.8</v>
      </c>
      <c r="E87" s="95">
        <f>SUM('DOE25'!H152:H160)</f>
        <v>230561.04000000004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84034.33</v>
      </c>
      <c r="D90" s="131">
        <f>SUM(D84:D89)</f>
        <v>101994.8</v>
      </c>
      <c r="E90" s="131">
        <f>SUM(E84:E89)</f>
        <v>230561.04000000004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17793.599999999999</v>
      </c>
      <c r="E95" s="95">
        <f>'DOE25'!H178</f>
        <v>0</v>
      </c>
      <c r="F95" s="95">
        <f>'DOE25'!I178</f>
        <v>0</v>
      </c>
      <c r="G95" s="95">
        <f>'DOE25'!J178</f>
        <v>249700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17793.599999999999</v>
      </c>
      <c r="E102" s="86">
        <f>SUM(E92:E101)</f>
        <v>0</v>
      </c>
      <c r="F102" s="86">
        <f>SUM(F92:F101)</f>
        <v>0</v>
      </c>
      <c r="G102" s="86">
        <f>SUM(G92:G101)</f>
        <v>249700</v>
      </c>
    </row>
    <row r="103" spans="1:7" ht="12.75" thickTop="1" thickBot="1" x14ac:dyDescent="0.25">
      <c r="A103" s="33" t="s">
        <v>765</v>
      </c>
      <c r="C103" s="86" t="e">
        <f>C62+C80+C90+C102</f>
        <v>#REF!</v>
      </c>
      <c r="D103" s="86">
        <f>D62+D80+D90+D102</f>
        <v>160820.43000000002</v>
      </c>
      <c r="E103" s="86">
        <f>E62+E80+E90+E102</f>
        <v>230561.04000000004</v>
      </c>
      <c r="F103" s="86">
        <f>F62+F80+F90+F102</f>
        <v>0</v>
      </c>
      <c r="G103" s="86">
        <f>G62+G80+G102</f>
        <v>249700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4530805.51</v>
      </c>
      <c r="D108" s="24" t="s">
        <v>289</v>
      </c>
      <c r="E108" s="95">
        <f>('DOE25'!L275)+('DOE25'!L294)+('DOE25'!L313)</f>
        <v>157003.95999999996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1655750.87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42971.5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6229527.8799999999</v>
      </c>
      <c r="D114" s="86">
        <f>SUM(D108:D113)</f>
        <v>0</v>
      </c>
      <c r="E114" s="86">
        <f>SUM(E108:E113)</f>
        <v>157003.95999999996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226748.80000000002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103047.73999999999</v>
      </c>
      <c r="D118" s="24" t="s">
        <v>289</v>
      </c>
      <c r="E118" s="95">
        <f>+('DOE25'!L281)+('DOE25'!L300)+('DOE25'!L319)</f>
        <v>60537.770000000004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575455.43000000005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272083.08999999997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13019.310000000001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395513.85000000003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470845.11999999994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34743.29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160820.43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2078437.32</v>
      </c>
      <c r="D127" s="86">
        <f>SUM(D117:D126)</f>
        <v>160820.43</v>
      </c>
      <c r="E127" s="86">
        <f>SUM(E117:E126)</f>
        <v>73557.08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160000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4544.3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53649.59</v>
      </c>
    </row>
    <row r="134" spans="1:7" x14ac:dyDescent="0.2">
      <c r="A134" t="s">
        <v>233</v>
      </c>
      <c r="B134" s="32" t="s">
        <v>234</v>
      </c>
      <c r="C134" s="95">
        <f>'DOE25'!L262</f>
        <v>17793.599999999999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249700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432037.9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53649.59</v>
      </c>
    </row>
    <row r="144" spans="1:7" ht="12.75" thickTop="1" thickBot="1" x14ac:dyDescent="0.25">
      <c r="A144" s="33" t="s">
        <v>244</v>
      </c>
      <c r="C144" s="86">
        <f>(C114+C127+C143)</f>
        <v>8740003.0999999996</v>
      </c>
      <c r="D144" s="86">
        <f>(D114+D127+D143)</f>
        <v>160820.43</v>
      </c>
      <c r="E144" s="86">
        <f>(E114+E127+E143)</f>
        <v>230561.03999999998</v>
      </c>
      <c r="F144" s="86">
        <f>(F114+F127+F143)</f>
        <v>0</v>
      </c>
      <c r="G144" s="86">
        <f>(G114+G127+G143)</f>
        <v>53649.59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2">
        <f>'DOE25'!F489</f>
        <v>15</v>
      </c>
      <c r="C150" s="152">
        <f>'DOE25'!G489</f>
        <v>15</v>
      </c>
      <c r="D150" s="152">
        <f>'DOE25'!H489</f>
        <v>0</v>
      </c>
      <c r="E150" s="152">
        <f>'DOE25'!I489</f>
        <v>0</v>
      </c>
      <c r="F150" s="152">
        <f>'DOE25'!J489</f>
        <v>0</v>
      </c>
      <c r="G150" s="24" t="s">
        <v>289</v>
      </c>
    </row>
    <row r="151" spans="1:9" x14ac:dyDescent="0.2">
      <c r="A151" s="136" t="s">
        <v>28</v>
      </c>
      <c r="B151" s="151" t="str">
        <f>'DOE25'!F490</f>
        <v>02/98</v>
      </c>
      <c r="C151" s="151" t="str">
        <f>'DOE25'!G490</f>
        <v>02/98</v>
      </c>
      <c r="D151" s="151">
        <f>'DOE25'!H490</f>
        <v>0</v>
      </c>
      <c r="E151" s="151">
        <f>'DOE25'!I490</f>
        <v>0</v>
      </c>
      <c r="F151" s="151">
        <f>'DOE25'!J490</f>
        <v>0</v>
      </c>
      <c r="G151" s="24" t="s">
        <v>289</v>
      </c>
    </row>
    <row r="152" spans="1:9" x14ac:dyDescent="0.2">
      <c r="A152" s="136" t="s">
        <v>29</v>
      </c>
      <c r="B152" s="151" t="str">
        <f>'DOE25'!F491</f>
        <v>08/12</v>
      </c>
      <c r="C152" s="151" t="str">
        <f>'DOE25'!G491</f>
        <v>08/12</v>
      </c>
      <c r="D152" s="151">
        <f>'DOE25'!H491</f>
        <v>0</v>
      </c>
      <c r="E152" s="151">
        <f>'DOE25'!I491</f>
        <v>0</v>
      </c>
      <c r="F152" s="151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607562</v>
      </c>
      <c r="C153" s="137">
        <f>'DOE25'!G492</f>
        <v>1822684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4.95</v>
      </c>
      <c r="C154" s="137">
        <f>'DOE25'!G493</f>
        <v>4.9000000000000004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40000</v>
      </c>
      <c r="C155" s="137">
        <f>'DOE25'!G494</f>
        <v>120000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160000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40000</v>
      </c>
      <c r="C157" s="137">
        <f>'DOE25'!G496</f>
        <v>120000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160000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6" t="s">
        <v>717</v>
      </c>
      <c r="B2" s="185" t="str">
        <f>'DOE25'!A2</f>
        <v>SAU# 64 - Wakefield School District</v>
      </c>
    </row>
    <row r="3" spans="1:4" x14ac:dyDescent="0.2">
      <c r="B3" s="187" t="s">
        <v>904</v>
      </c>
    </row>
    <row r="4" spans="1:4" x14ac:dyDescent="0.2">
      <c r="B4" t="s">
        <v>61</v>
      </c>
      <c r="C4" s="178">
        <f>IF('DOE25'!F664+'DOE25'!F669=0,0,ROUND('DOE25'!F671,0))</f>
        <v>12623</v>
      </c>
    </row>
    <row r="5" spans="1:4" x14ac:dyDescent="0.2">
      <c r="B5" t="s">
        <v>704</v>
      </c>
      <c r="C5" s="178">
        <f>IF('DOE25'!G664+'DOE25'!G669=0,0,ROUND('DOE25'!G671,0))</f>
        <v>0</v>
      </c>
    </row>
    <row r="6" spans="1:4" x14ac:dyDescent="0.2">
      <c r="B6" t="s">
        <v>62</v>
      </c>
      <c r="C6" s="178">
        <f>IF('DOE25'!H664+'DOE25'!H669=0,0,ROUND('DOE25'!H671,0))</f>
        <v>0</v>
      </c>
    </row>
    <row r="7" spans="1:4" x14ac:dyDescent="0.2">
      <c r="B7" t="s">
        <v>705</v>
      </c>
      <c r="C7" s="178">
        <f>IF('DOE25'!I664+'DOE25'!I669=0,0,ROUND('DOE25'!I671,0))</f>
        <v>12623</v>
      </c>
    </row>
    <row r="9" spans="1:4" x14ac:dyDescent="0.2">
      <c r="A9" s="186" t="s">
        <v>94</v>
      </c>
      <c r="B9" s="187" t="s">
        <v>905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ROUND('DOE25'!L196+'DOE25'!L214+'DOE25'!L232+'DOE25'!L275+'DOE25'!L294+'DOE25'!L313,0)</f>
        <v>4687809</v>
      </c>
      <c r="D10" s="181">
        <f>ROUND((C10/$C$28)*100,1)</f>
        <v>54.1</v>
      </c>
    </row>
    <row r="11" spans="1:4" x14ac:dyDescent="0.2">
      <c r="A11">
        <v>1200</v>
      </c>
      <c r="B11" t="s">
        <v>707</v>
      </c>
      <c r="C11" s="178">
        <f>ROUND('DOE25'!L197+'DOE25'!L215+'DOE25'!L233+'DOE25'!L276+'DOE25'!L295+'DOE25'!L314,0)</f>
        <v>1655751</v>
      </c>
      <c r="D11" s="181">
        <f>ROUND((C11/$C$28)*100,1)</f>
        <v>19.100000000000001</v>
      </c>
    </row>
    <row r="12" spans="1:4" x14ac:dyDescent="0.2">
      <c r="A12">
        <v>1300</v>
      </c>
      <c r="B12" t="s">
        <v>708</v>
      </c>
      <c r="C12" s="178">
        <f>ROUND('DOE25'!L198+'DOE25'!L216+'DOE25'!L234+'DOE25'!L277+'DOE25'!L296+'DOE25'!L315,0)</f>
        <v>0</v>
      </c>
      <c r="D12" s="181">
        <f>ROUND((C12/$C$28)*100,1)</f>
        <v>0</v>
      </c>
    </row>
    <row r="13" spans="1:4" x14ac:dyDescent="0.2">
      <c r="A13">
        <v>1400</v>
      </c>
      <c r="B13" t="s">
        <v>709</v>
      </c>
      <c r="C13" s="178">
        <f>ROUND('DOE25'!L199+'DOE25'!L217+'DOE25'!L235+'DOE25'!L278+'DOE25'!L297+'DOE25'!L316,0)</f>
        <v>42972</v>
      </c>
      <c r="D13" s="181">
        <f>ROUND((C13/$C$28)*100,1)</f>
        <v>0.5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ROUND('DOE25'!L201+'DOE25'!L219+'DOE25'!L237+'DOE25'!L280+'DOE25'!L299+'DOE25'!L318,0)</f>
        <v>226749</v>
      </c>
      <c r="D15" s="181">
        <f t="shared" ref="D15:D27" si="0">ROUND((C15/$C$28)*100,1)</f>
        <v>2.6</v>
      </c>
    </row>
    <row r="16" spans="1:4" x14ac:dyDescent="0.2">
      <c r="A16">
        <v>2200</v>
      </c>
      <c r="B16" t="s">
        <v>711</v>
      </c>
      <c r="C16" s="178">
        <f>ROUND('DOE25'!L202+'DOE25'!L220+'DOE25'!L238+'DOE25'!L281+'DOE25'!L300+'DOE25'!L319,0)</f>
        <v>163586</v>
      </c>
      <c r="D16" s="181">
        <f t="shared" si="0"/>
        <v>1.9</v>
      </c>
    </row>
    <row r="17" spans="1:4" x14ac:dyDescent="0.2">
      <c r="A17" s="182" t="s">
        <v>727</v>
      </c>
      <c r="B17" t="s">
        <v>742</v>
      </c>
      <c r="C17" s="178">
        <f>ROUND('DOE25'!L203+'DOE25'!L208+'DOE25'!L221+'DOE25'!L226+'DOE25'!L239+'DOE25'!L244+'DOE25'!L282+'DOE25'!L287+'DOE25'!L301+'DOE25'!L306+'DOE25'!L320+'DOE25'!L325,0)</f>
        <v>610199</v>
      </c>
      <c r="D17" s="181">
        <f t="shared" si="0"/>
        <v>7</v>
      </c>
    </row>
    <row r="18" spans="1:4" x14ac:dyDescent="0.2">
      <c r="A18">
        <v>2400</v>
      </c>
      <c r="B18" t="s">
        <v>715</v>
      </c>
      <c r="C18" s="178">
        <f>ROUND('DOE25'!L204+'DOE25'!L222+'DOE25'!L240+'DOE25'!L283+'DOE25'!L302+'DOE25'!L321,0)</f>
        <v>272083</v>
      </c>
      <c r="D18" s="181">
        <f t="shared" si="0"/>
        <v>3.1</v>
      </c>
    </row>
    <row r="19" spans="1:4" x14ac:dyDescent="0.2">
      <c r="A19">
        <v>2500</v>
      </c>
      <c r="B19" t="s">
        <v>712</v>
      </c>
      <c r="C19" s="178">
        <f>ROUND('DOE25'!L205+'DOE25'!L223+'DOE25'!L241+'DOE25'!L284+'DOE25'!L303+'DOE25'!L322,0)</f>
        <v>13019</v>
      </c>
      <c r="D19" s="181">
        <f t="shared" si="0"/>
        <v>0.2</v>
      </c>
    </row>
    <row r="20" spans="1:4" x14ac:dyDescent="0.2">
      <c r="A20">
        <v>2600</v>
      </c>
      <c r="B20" t="s">
        <v>713</v>
      </c>
      <c r="C20" s="178">
        <f>ROUND('DOE25'!L206+'DOE25'!L224+'DOE25'!L242+'DOE25'!L285+'DOE25'!L304+'DOE25'!L323,0)</f>
        <v>395514</v>
      </c>
      <c r="D20" s="181">
        <f t="shared" si="0"/>
        <v>4.5999999999999996</v>
      </c>
    </row>
    <row r="21" spans="1:4" x14ac:dyDescent="0.2">
      <c r="A21">
        <v>2700</v>
      </c>
      <c r="B21" t="s">
        <v>714</v>
      </c>
      <c r="C21" s="178">
        <f>ROUND('DOE25'!L207+'DOE25'!L225+'DOE25'!L243+'DOE25'!L286+'DOE25'!L305+'DOE25'!L324,0)</f>
        <v>470845</v>
      </c>
      <c r="D21" s="181">
        <f t="shared" si="0"/>
        <v>5.4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ROUND('DOE25'!L249+'DOE25'!L331,0)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ROUND('DOE25'!L250+'DOE25'!L251+'DOE25'!L252+'DOE25'!L253+'DOE25'!L332+'DOE25'!L333+'DOE25'!L334,0)</f>
        <v>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ROUND('DOE25'!L260+'DOE25'!L341,0)</f>
        <v>4544</v>
      </c>
      <c r="D25" s="181">
        <f t="shared" si="0"/>
        <v>0.1</v>
      </c>
    </row>
    <row r="26" spans="1:4" x14ac:dyDescent="0.2">
      <c r="A26" s="182" t="s">
        <v>721</v>
      </c>
      <c r="B26" t="s">
        <v>722</v>
      </c>
      <c r="C26" s="178">
        <f>'DOE25'!L267+'DOE25'!L268+'DOE25'!L348+'DOE25'!L349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ROUND('DOE25'!L361-'DOE25'!L360,0)-SUM('DOE25'!G96:G109)</f>
        <v>119787.97</v>
      </c>
      <c r="D27" s="181">
        <f t="shared" si="0"/>
        <v>1.4</v>
      </c>
    </row>
    <row r="28" spans="1:4" x14ac:dyDescent="0.2">
      <c r="B28" s="186" t="s">
        <v>723</v>
      </c>
      <c r="C28" s="179">
        <f>SUM(C10:C27)</f>
        <v>8662858.9700000007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ROUND('DOE25'!L254+'DOE25'!L335+'DOE25'!L373+'DOE25'!L374+'DOE25'!L375+'DOE25'!L376+'DOE25'!L377+'DOE25'!L378+'DOE25'!L379,0)</f>
        <v>0</v>
      </c>
    </row>
    <row r="30" spans="1:4" x14ac:dyDescent="0.2">
      <c r="B30" s="186" t="s">
        <v>729</v>
      </c>
      <c r="C30" s="179">
        <f>SUM(C28:C29)</f>
        <v>8662858.9700000007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ROUND('DOE25'!L259+'DOE25'!L340,0)</f>
        <v>160000</v>
      </c>
    </row>
    <row r="34" spans="1:4" x14ac:dyDescent="0.2">
      <c r="A34" s="186" t="s">
        <v>94</v>
      </c>
      <c r="B34" s="187" t="s">
        <v>906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ROUND('DOE25'!F59+'DOE25'!G59+'DOE25'!H59+'DOE25'!I59+'DOE25'!J59,0)</f>
        <v>5413013</v>
      </c>
      <c r="D35" s="181">
        <f t="shared" ref="D35:D40" si="1">ROUND((C35/$C$41)*100,1)</f>
        <v>57</v>
      </c>
    </row>
    <row r="36" spans="1:4" x14ac:dyDescent="0.2">
      <c r="B36" s="184" t="s">
        <v>743</v>
      </c>
      <c r="C36" s="178">
        <f>SUM('DOE25'!F111:J111)-SUM('DOE25'!G96:G109)+('DOE25'!F173+'DOE25'!F174+'DOE25'!I173+'DOE25'!I174)-C35</f>
        <v>55273.740000000224</v>
      </c>
      <c r="D36" s="181">
        <f t="shared" si="1"/>
        <v>0.6</v>
      </c>
    </row>
    <row r="37" spans="1:4" x14ac:dyDescent="0.2">
      <c r="A37" s="182" t="s">
        <v>851</v>
      </c>
      <c r="B37" s="184" t="s">
        <v>732</v>
      </c>
      <c r="C37" s="178">
        <f>ROUND('DOE25'!F116+'DOE25'!F117,0)</f>
        <v>3545344</v>
      </c>
      <c r="D37" s="181">
        <f t="shared" si="1"/>
        <v>37.299999999999997</v>
      </c>
    </row>
    <row r="38" spans="1:4" x14ac:dyDescent="0.2">
      <c r="A38" s="182" t="s">
        <v>738</v>
      </c>
      <c r="B38" s="184" t="s">
        <v>733</v>
      </c>
      <c r="C38" s="178">
        <f>ROUND(SUM('DOE25'!F139:J139)-SUM('DOE25'!F116:F118),0)</f>
        <v>67647</v>
      </c>
      <c r="D38" s="181">
        <f t="shared" si="1"/>
        <v>0.7</v>
      </c>
    </row>
    <row r="39" spans="1:4" x14ac:dyDescent="0.2">
      <c r="A39">
        <v>4000</v>
      </c>
      <c r="B39" s="184" t="s">
        <v>734</v>
      </c>
      <c r="C39" s="178">
        <f>ROUND('DOE25'!F168+'DOE25'!G168+'DOE25'!H168+'DOE25'!I168,0)</f>
        <v>416590</v>
      </c>
      <c r="D39" s="181">
        <f t="shared" si="1"/>
        <v>4.4000000000000004</v>
      </c>
    </row>
    <row r="40" spans="1:4" x14ac:dyDescent="0.2">
      <c r="A40" s="182" t="s">
        <v>739</v>
      </c>
      <c r="B40" s="184" t="s">
        <v>735</v>
      </c>
      <c r="C40" s="178">
        <f>ROUND(SUM('DOE25'!F188:F190)+SUM('DOE25'!G188:G190)+SUM('DOE25'!H188:H190)+SUM('DOE25'!I188:I190),0)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9497867.7400000002</v>
      </c>
      <c r="D41" s="183">
        <f>SUM(D35:D40)</f>
        <v>100.00000000000001</v>
      </c>
    </row>
    <row r="42" spans="1:4" x14ac:dyDescent="0.2">
      <c r="A42" s="182" t="s">
        <v>741</v>
      </c>
      <c r="B42" s="184" t="s">
        <v>737</v>
      </c>
      <c r="C42" s="178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F2" sqref="F2:I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2" t="s">
        <v>770</v>
      </c>
      <c r="B1" s="293"/>
      <c r="C1" s="293"/>
      <c r="D1" s="293"/>
      <c r="E1" s="293"/>
      <c r="F1" s="293"/>
      <c r="G1" s="293"/>
      <c r="H1" s="293"/>
      <c r="I1" s="293"/>
      <c r="J1" s="212"/>
      <c r="K1" s="212"/>
      <c r="L1" s="212"/>
      <c r="M1" s="213"/>
    </row>
    <row r="2" spans="1:26" ht="12.75" x14ac:dyDescent="0.2">
      <c r="A2" s="298" t="s">
        <v>767</v>
      </c>
      <c r="B2" s="299"/>
      <c r="C2" s="299"/>
      <c r="D2" s="299"/>
      <c r="E2" s="299"/>
      <c r="F2" s="296" t="str">
        <f>'DOE25'!A2</f>
        <v>SAU# 64 - Wakefield School District</v>
      </c>
      <c r="G2" s="297"/>
      <c r="H2" s="297"/>
      <c r="I2" s="297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94" t="s">
        <v>771</v>
      </c>
      <c r="D3" s="294"/>
      <c r="E3" s="294"/>
      <c r="F3" s="294"/>
      <c r="G3" s="294"/>
      <c r="H3" s="294"/>
      <c r="I3" s="294"/>
      <c r="J3" s="294"/>
      <c r="K3" s="294"/>
      <c r="L3" s="294"/>
      <c r="M3" s="295"/>
    </row>
    <row r="4" spans="1:26" x14ac:dyDescent="0.2">
      <c r="A4" s="217"/>
      <c r="B4" s="218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0"/>
      <c r="O29" s="210"/>
      <c r="P29" s="289"/>
      <c r="Q29" s="289"/>
      <c r="R29" s="289"/>
      <c r="S29" s="289"/>
      <c r="T29" s="289"/>
      <c r="U29" s="289"/>
      <c r="V29" s="289"/>
      <c r="W29" s="289"/>
      <c r="X29" s="289"/>
      <c r="Y29" s="289"/>
      <c r="Z29" s="289"/>
      <c r="AA29" s="206"/>
      <c r="AB29" s="206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06"/>
      <c r="AO29" s="206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06"/>
      <c r="BB29" s="206"/>
      <c r="BC29" s="288"/>
      <c r="BD29" s="288"/>
      <c r="BE29" s="288"/>
      <c r="BF29" s="288"/>
      <c r="BG29" s="288"/>
      <c r="BH29" s="288"/>
      <c r="BI29" s="288"/>
      <c r="BJ29" s="288"/>
      <c r="BK29" s="288"/>
      <c r="BL29" s="288"/>
      <c r="BM29" s="288"/>
      <c r="BN29" s="206"/>
      <c r="BO29" s="206"/>
      <c r="BP29" s="288"/>
      <c r="BQ29" s="288"/>
      <c r="BR29" s="288"/>
      <c r="BS29" s="288"/>
      <c r="BT29" s="288"/>
      <c r="BU29" s="288"/>
      <c r="BV29" s="288"/>
      <c r="BW29" s="288"/>
      <c r="BX29" s="288"/>
      <c r="BY29" s="288"/>
      <c r="BZ29" s="288"/>
      <c r="CA29" s="206"/>
      <c r="CB29" s="206"/>
      <c r="CC29" s="288"/>
      <c r="CD29" s="288"/>
      <c r="CE29" s="288"/>
      <c r="CF29" s="288"/>
      <c r="CG29" s="288"/>
      <c r="CH29" s="288"/>
      <c r="CI29" s="288"/>
      <c r="CJ29" s="288"/>
      <c r="CK29" s="288"/>
      <c r="CL29" s="288"/>
      <c r="CM29" s="288"/>
      <c r="CN29" s="206"/>
      <c r="CO29" s="206"/>
      <c r="CP29" s="288"/>
      <c r="CQ29" s="288"/>
      <c r="CR29" s="288"/>
      <c r="CS29" s="288"/>
      <c r="CT29" s="288"/>
      <c r="CU29" s="288"/>
      <c r="CV29" s="288"/>
      <c r="CW29" s="288"/>
      <c r="CX29" s="288"/>
      <c r="CY29" s="288"/>
      <c r="CZ29" s="288"/>
      <c r="DA29" s="206"/>
      <c r="DB29" s="206"/>
      <c r="DC29" s="288"/>
      <c r="DD29" s="288"/>
      <c r="DE29" s="288"/>
      <c r="DF29" s="288"/>
      <c r="DG29" s="288"/>
      <c r="DH29" s="288"/>
      <c r="DI29" s="288"/>
      <c r="DJ29" s="288"/>
      <c r="DK29" s="288"/>
      <c r="DL29" s="288"/>
      <c r="DM29" s="288"/>
      <c r="DN29" s="206"/>
      <c r="DO29" s="206"/>
      <c r="DP29" s="288"/>
      <c r="DQ29" s="288"/>
      <c r="DR29" s="288"/>
      <c r="DS29" s="288"/>
      <c r="DT29" s="288"/>
      <c r="DU29" s="288"/>
      <c r="DV29" s="288"/>
      <c r="DW29" s="288"/>
      <c r="DX29" s="288"/>
      <c r="DY29" s="288"/>
      <c r="DZ29" s="288"/>
      <c r="EA29" s="206"/>
      <c r="EB29" s="206"/>
      <c r="EC29" s="288"/>
      <c r="ED29" s="288"/>
      <c r="EE29" s="288"/>
      <c r="EF29" s="288"/>
      <c r="EG29" s="288"/>
      <c r="EH29" s="288"/>
      <c r="EI29" s="288"/>
      <c r="EJ29" s="288"/>
      <c r="EK29" s="288"/>
      <c r="EL29" s="288"/>
      <c r="EM29" s="288"/>
      <c r="EN29" s="206"/>
      <c r="EO29" s="206"/>
      <c r="EP29" s="288"/>
      <c r="EQ29" s="288"/>
      <c r="ER29" s="288"/>
      <c r="ES29" s="288"/>
      <c r="ET29" s="288"/>
      <c r="EU29" s="288"/>
      <c r="EV29" s="288"/>
      <c r="EW29" s="288"/>
      <c r="EX29" s="288"/>
      <c r="EY29" s="288"/>
      <c r="EZ29" s="288"/>
      <c r="FA29" s="206"/>
      <c r="FB29" s="206"/>
      <c r="FC29" s="288"/>
      <c r="FD29" s="288"/>
      <c r="FE29" s="288"/>
      <c r="FF29" s="288"/>
      <c r="FG29" s="288"/>
      <c r="FH29" s="288"/>
      <c r="FI29" s="288"/>
      <c r="FJ29" s="288"/>
      <c r="FK29" s="288"/>
      <c r="FL29" s="288"/>
      <c r="FM29" s="288"/>
      <c r="FN29" s="206"/>
      <c r="FO29" s="206"/>
      <c r="FP29" s="288"/>
      <c r="FQ29" s="288"/>
      <c r="FR29" s="288"/>
      <c r="FS29" s="288"/>
      <c r="FT29" s="288"/>
      <c r="FU29" s="288"/>
      <c r="FV29" s="288"/>
      <c r="FW29" s="288"/>
      <c r="FX29" s="288"/>
      <c r="FY29" s="288"/>
      <c r="FZ29" s="288"/>
      <c r="GA29" s="206"/>
      <c r="GB29" s="206"/>
      <c r="GC29" s="288"/>
      <c r="GD29" s="288"/>
      <c r="GE29" s="288"/>
      <c r="GF29" s="288"/>
      <c r="GG29" s="288"/>
      <c r="GH29" s="288"/>
      <c r="GI29" s="288"/>
      <c r="GJ29" s="288"/>
      <c r="GK29" s="288"/>
      <c r="GL29" s="288"/>
      <c r="GM29" s="288"/>
      <c r="GN29" s="206"/>
      <c r="GO29" s="206"/>
      <c r="GP29" s="288"/>
      <c r="GQ29" s="288"/>
      <c r="GR29" s="288"/>
      <c r="GS29" s="288"/>
      <c r="GT29" s="288"/>
      <c r="GU29" s="288"/>
      <c r="GV29" s="288"/>
      <c r="GW29" s="288"/>
      <c r="GX29" s="288"/>
      <c r="GY29" s="288"/>
      <c r="GZ29" s="288"/>
      <c r="HA29" s="206"/>
      <c r="HB29" s="206"/>
      <c r="HC29" s="288"/>
      <c r="HD29" s="288"/>
      <c r="HE29" s="288"/>
      <c r="HF29" s="288"/>
      <c r="HG29" s="288"/>
      <c r="HH29" s="288"/>
      <c r="HI29" s="288"/>
      <c r="HJ29" s="288"/>
      <c r="HK29" s="288"/>
      <c r="HL29" s="288"/>
      <c r="HM29" s="288"/>
      <c r="HN29" s="206"/>
      <c r="HO29" s="206"/>
      <c r="HP29" s="288"/>
      <c r="HQ29" s="288"/>
      <c r="HR29" s="288"/>
      <c r="HS29" s="288"/>
      <c r="HT29" s="288"/>
      <c r="HU29" s="288"/>
      <c r="HV29" s="288"/>
      <c r="HW29" s="288"/>
      <c r="HX29" s="288"/>
      <c r="HY29" s="288"/>
      <c r="HZ29" s="288"/>
      <c r="IA29" s="206"/>
      <c r="IB29" s="206"/>
      <c r="IC29" s="288"/>
      <c r="ID29" s="288"/>
      <c r="IE29" s="288"/>
      <c r="IF29" s="288"/>
      <c r="IG29" s="288"/>
      <c r="IH29" s="288"/>
      <c r="II29" s="288"/>
      <c r="IJ29" s="288"/>
      <c r="IK29" s="288"/>
      <c r="IL29" s="288"/>
      <c r="IM29" s="288"/>
      <c r="IN29" s="206"/>
      <c r="IO29" s="206"/>
      <c r="IP29" s="288"/>
      <c r="IQ29" s="288"/>
      <c r="IR29" s="288"/>
      <c r="IS29" s="288"/>
      <c r="IT29" s="288"/>
      <c r="IU29" s="288"/>
      <c r="IV29" s="288"/>
    </row>
    <row r="30" spans="1:256" x14ac:dyDescent="0.2">
      <c r="A30" s="217"/>
      <c r="B30" s="218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0"/>
      <c r="O30" s="210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289"/>
      <c r="AA30" s="206"/>
      <c r="AB30" s="206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06"/>
      <c r="AO30" s="206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06"/>
      <c r="BB30" s="206"/>
      <c r="BC30" s="288"/>
      <c r="BD30" s="288"/>
      <c r="BE30" s="288"/>
      <c r="BF30" s="288"/>
      <c r="BG30" s="288"/>
      <c r="BH30" s="288"/>
      <c r="BI30" s="288"/>
      <c r="BJ30" s="288"/>
      <c r="BK30" s="288"/>
      <c r="BL30" s="288"/>
      <c r="BM30" s="288"/>
      <c r="BN30" s="206"/>
      <c r="BO30" s="206"/>
      <c r="BP30" s="288"/>
      <c r="BQ30" s="288"/>
      <c r="BR30" s="288"/>
      <c r="BS30" s="288"/>
      <c r="BT30" s="288"/>
      <c r="BU30" s="288"/>
      <c r="BV30" s="288"/>
      <c r="BW30" s="288"/>
      <c r="BX30" s="288"/>
      <c r="BY30" s="288"/>
      <c r="BZ30" s="288"/>
      <c r="CA30" s="206"/>
      <c r="CB30" s="206"/>
      <c r="CC30" s="288"/>
      <c r="CD30" s="288"/>
      <c r="CE30" s="288"/>
      <c r="CF30" s="288"/>
      <c r="CG30" s="288"/>
      <c r="CH30" s="288"/>
      <c r="CI30" s="288"/>
      <c r="CJ30" s="288"/>
      <c r="CK30" s="288"/>
      <c r="CL30" s="288"/>
      <c r="CM30" s="288"/>
      <c r="CN30" s="206"/>
      <c r="CO30" s="206"/>
      <c r="CP30" s="288"/>
      <c r="CQ30" s="288"/>
      <c r="CR30" s="288"/>
      <c r="CS30" s="288"/>
      <c r="CT30" s="288"/>
      <c r="CU30" s="288"/>
      <c r="CV30" s="288"/>
      <c r="CW30" s="288"/>
      <c r="CX30" s="288"/>
      <c r="CY30" s="288"/>
      <c r="CZ30" s="288"/>
      <c r="DA30" s="206"/>
      <c r="DB30" s="206"/>
      <c r="DC30" s="288"/>
      <c r="DD30" s="288"/>
      <c r="DE30" s="288"/>
      <c r="DF30" s="288"/>
      <c r="DG30" s="288"/>
      <c r="DH30" s="288"/>
      <c r="DI30" s="288"/>
      <c r="DJ30" s="288"/>
      <c r="DK30" s="288"/>
      <c r="DL30" s="288"/>
      <c r="DM30" s="288"/>
      <c r="DN30" s="206"/>
      <c r="DO30" s="206"/>
      <c r="DP30" s="288"/>
      <c r="DQ30" s="288"/>
      <c r="DR30" s="288"/>
      <c r="DS30" s="288"/>
      <c r="DT30" s="288"/>
      <c r="DU30" s="288"/>
      <c r="DV30" s="288"/>
      <c r="DW30" s="288"/>
      <c r="DX30" s="288"/>
      <c r="DY30" s="288"/>
      <c r="DZ30" s="288"/>
      <c r="EA30" s="206"/>
      <c r="EB30" s="206"/>
      <c r="EC30" s="288"/>
      <c r="ED30" s="288"/>
      <c r="EE30" s="288"/>
      <c r="EF30" s="288"/>
      <c r="EG30" s="288"/>
      <c r="EH30" s="288"/>
      <c r="EI30" s="288"/>
      <c r="EJ30" s="288"/>
      <c r="EK30" s="288"/>
      <c r="EL30" s="288"/>
      <c r="EM30" s="288"/>
      <c r="EN30" s="206"/>
      <c r="EO30" s="206"/>
      <c r="EP30" s="288"/>
      <c r="EQ30" s="288"/>
      <c r="ER30" s="288"/>
      <c r="ES30" s="288"/>
      <c r="ET30" s="288"/>
      <c r="EU30" s="288"/>
      <c r="EV30" s="288"/>
      <c r="EW30" s="288"/>
      <c r="EX30" s="288"/>
      <c r="EY30" s="288"/>
      <c r="EZ30" s="288"/>
      <c r="FA30" s="206"/>
      <c r="FB30" s="206"/>
      <c r="FC30" s="288"/>
      <c r="FD30" s="288"/>
      <c r="FE30" s="288"/>
      <c r="FF30" s="288"/>
      <c r="FG30" s="288"/>
      <c r="FH30" s="288"/>
      <c r="FI30" s="288"/>
      <c r="FJ30" s="288"/>
      <c r="FK30" s="288"/>
      <c r="FL30" s="288"/>
      <c r="FM30" s="288"/>
      <c r="FN30" s="206"/>
      <c r="FO30" s="206"/>
      <c r="FP30" s="288"/>
      <c r="FQ30" s="288"/>
      <c r="FR30" s="288"/>
      <c r="FS30" s="288"/>
      <c r="FT30" s="288"/>
      <c r="FU30" s="288"/>
      <c r="FV30" s="288"/>
      <c r="FW30" s="288"/>
      <c r="FX30" s="288"/>
      <c r="FY30" s="288"/>
      <c r="FZ30" s="288"/>
      <c r="GA30" s="206"/>
      <c r="GB30" s="206"/>
      <c r="GC30" s="288"/>
      <c r="GD30" s="288"/>
      <c r="GE30" s="288"/>
      <c r="GF30" s="288"/>
      <c r="GG30" s="288"/>
      <c r="GH30" s="288"/>
      <c r="GI30" s="288"/>
      <c r="GJ30" s="288"/>
      <c r="GK30" s="288"/>
      <c r="GL30" s="288"/>
      <c r="GM30" s="288"/>
      <c r="GN30" s="206"/>
      <c r="GO30" s="206"/>
      <c r="GP30" s="288"/>
      <c r="GQ30" s="288"/>
      <c r="GR30" s="288"/>
      <c r="GS30" s="288"/>
      <c r="GT30" s="288"/>
      <c r="GU30" s="288"/>
      <c r="GV30" s="288"/>
      <c r="GW30" s="288"/>
      <c r="GX30" s="288"/>
      <c r="GY30" s="288"/>
      <c r="GZ30" s="288"/>
      <c r="HA30" s="206"/>
      <c r="HB30" s="206"/>
      <c r="HC30" s="288"/>
      <c r="HD30" s="288"/>
      <c r="HE30" s="288"/>
      <c r="HF30" s="288"/>
      <c r="HG30" s="288"/>
      <c r="HH30" s="288"/>
      <c r="HI30" s="288"/>
      <c r="HJ30" s="288"/>
      <c r="HK30" s="288"/>
      <c r="HL30" s="288"/>
      <c r="HM30" s="288"/>
      <c r="HN30" s="206"/>
      <c r="HO30" s="206"/>
      <c r="HP30" s="288"/>
      <c r="HQ30" s="288"/>
      <c r="HR30" s="288"/>
      <c r="HS30" s="288"/>
      <c r="HT30" s="288"/>
      <c r="HU30" s="288"/>
      <c r="HV30" s="288"/>
      <c r="HW30" s="288"/>
      <c r="HX30" s="288"/>
      <c r="HY30" s="288"/>
      <c r="HZ30" s="288"/>
      <c r="IA30" s="206"/>
      <c r="IB30" s="206"/>
      <c r="IC30" s="288"/>
      <c r="ID30" s="288"/>
      <c r="IE30" s="288"/>
      <c r="IF30" s="288"/>
      <c r="IG30" s="288"/>
      <c r="IH30" s="288"/>
      <c r="II30" s="288"/>
      <c r="IJ30" s="288"/>
      <c r="IK30" s="288"/>
      <c r="IL30" s="288"/>
      <c r="IM30" s="288"/>
      <c r="IN30" s="206"/>
      <c r="IO30" s="206"/>
      <c r="IP30" s="288"/>
      <c r="IQ30" s="288"/>
      <c r="IR30" s="288"/>
      <c r="IS30" s="288"/>
      <c r="IT30" s="288"/>
      <c r="IU30" s="288"/>
      <c r="IV30" s="288"/>
    </row>
    <row r="31" spans="1:256" x14ac:dyDescent="0.2">
      <c r="A31" s="217"/>
      <c r="B31" s="218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0"/>
      <c r="O31" s="210"/>
      <c r="P31" s="289"/>
      <c r="Q31" s="289"/>
      <c r="R31" s="289"/>
      <c r="S31" s="289"/>
      <c r="T31" s="289"/>
      <c r="U31" s="289"/>
      <c r="V31" s="289"/>
      <c r="W31" s="289"/>
      <c r="X31" s="289"/>
      <c r="Y31" s="289"/>
      <c r="Z31" s="289"/>
      <c r="AA31" s="206"/>
      <c r="AB31" s="206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06"/>
      <c r="AO31" s="206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06"/>
      <c r="BB31" s="206"/>
      <c r="BC31" s="288"/>
      <c r="BD31" s="288"/>
      <c r="BE31" s="288"/>
      <c r="BF31" s="288"/>
      <c r="BG31" s="288"/>
      <c r="BH31" s="288"/>
      <c r="BI31" s="288"/>
      <c r="BJ31" s="288"/>
      <c r="BK31" s="288"/>
      <c r="BL31" s="288"/>
      <c r="BM31" s="288"/>
      <c r="BN31" s="206"/>
      <c r="BO31" s="206"/>
      <c r="BP31" s="288"/>
      <c r="BQ31" s="288"/>
      <c r="BR31" s="288"/>
      <c r="BS31" s="288"/>
      <c r="BT31" s="288"/>
      <c r="BU31" s="288"/>
      <c r="BV31" s="288"/>
      <c r="BW31" s="288"/>
      <c r="BX31" s="288"/>
      <c r="BY31" s="288"/>
      <c r="BZ31" s="288"/>
      <c r="CA31" s="206"/>
      <c r="CB31" s="206"/>
      <c r="CC31" s="288"/>
      <c r="CD31" s="288"/>
      <c r="CE31" s="288"/>
      <c r="CF31" s="288"/>
      <c r="CG31" s="288"/>
      <c r="CH31" s="288"/>
      <c r="CI31" s="288"/>
      <c r="CJ31" s="288"/>
      <c r="CK31" s="288"/>
      <c r="CL31" s="288"/>
      <c r="CM31" s="288"/>
      <c r="CN31" s="206"/>
      <c r="CO31" s="206"/>
      <c r="CP31" s="288"/>
      <c r="CQ31" s="288"/>
      <c r="CR31" s="288"/>
      <c r="CS31" s="288"/>
      <c r="CT31" s="288"/>
      <c r="CU31" s="288"/>
      <c r="CV31" s="288"/>
      <c r="CW31" s="288"/>
      <c r="CX31" s="288"/>
      <c r="CY31" s="288"/>
      <c r="CZ31" s="288"/>
      <c r="DA31" s="206"/>
      <c r="DB31" s="206"/>
      <c r="DC31" s="288"/>
      <c r="DD31" s="288"/>
      <c r="DE31" s="288"/>
      <c r="DF31" s="288"/>
      <c r="DG31" s="288"/>
      <c r="DH31" s="288"/>
      <c r="DI31" s="288"/>
      <c r="DJ31" s="288"/>
      <c r="DK31" s="288"/>
      <c r="DL31" s="288"/>
      <c r="DM31" s="288"/>
      <c r="DN31" s="206"/>
      <c r="DO31" s="206"/>
      <c r="DP31" s="288"/>
      <c r="DQ31" s="288"/>
      <c r="DR31" s="288"/>
      <c r="DS31" s="288"/>
      <c r="DT31" s="288"/>
      <c r="DU31" s="288"/>
      <c r="DV31" s="288"/>
      <c r="DW31" s="288"/>
      <c r="DX31" s="288"/>
      <c r="DY31" s="288"/>
      <c r="DZ31" s="288"/>
      <c r="EA31" s="206"/>
      <c r="EB31" s="206"/>
      <c r="EC31" s="288"/>
      <c r="ED31" s="288"/>
      <c r="EE31" s="288"/>
      <c r="EF31" s="288"/>
      <c r="EG31" s="288"/>
      <c r="EH31" s="288"/>
      <c r="EI31" s="288"/>
      <c r="EJ31" s="288"/>
      <c r="EK31" s="288"/>
      <c r="EL31" s="288"/>
      <c r="EM31" s="288"/>
      <c r="EN31" s="206"/>
      <c r="EO31" s="206"/>
      <c r="EP31" s="288"/>
      <c r="EQ31" s="288"/>
      <c r="ER31" s="288"/>
      <c r="ES31" s="288"/>
      <c r="ET31" s="288"/>
      <c r="EU31" s="288"/>
      <c r="EV31" s="288"/>
      <c r="EW31" s="288"/>
      <c r="EX31" s="288"/>
      <c r="EY31" s="288"/>
      <c r="EZ31" s="288"/>
      <c r="FA31" s="206"/>
      <c r="FB31" s="206"/>
      <c r="FC31" s="288"/>
      <c r="FD31" s="288"/>
      <c r="FE31" s="288"/>
      <c r="FF31" s="288"/>
      <c r="FG31" s="288"/>
      <c r="FH31" s="288"/>
      <c r="FI31" s="288"/>
      <c r="FJ31" s="288"/>
      <c r="FK31" s="288"/>
      <c r="FL31" s="288"/>
      <c r="FM31" s="288"/>
      <c r="FN31" s="206"/>
      <c r="FO31" s="206"/>
      <c r="FP31" s="288"/>
      <c r="FQ31" s="288"/>
      <c r="FR31" s="288"/>
      <c r="FS31" s="288"/>
      <c r="FT31" s="288"/>
      <c r="FU31" s="288"/>
      <c r="FV31" s="288"/>
      <c r="FW31" s="288"/>
      <c r="FX31" s="288"/>
      <c r="FY31" s="288"/>
      <c r="FZ31" s="288"/>
      <c r="GA31" s="206"/>
      <c r="GB31" s="206"/>
      <c r="GC31" s="288"/>
      <c r="GD31" s="288"/>
      <c r="GE31" s="288"/>
      <c r="GF31" s="288"/>
      <c r="GG31" s="288"/>
      <c r="GH31" s="288"/>
      <c r="GI31" s="288"/>
      <c r="GJ31" s="288"/>
      <c r="GK31" s="288"/>
      <c r="GL31" s="288"/>
      <c r="GM31" s="288"/>
      <c r="GN31" s="206"/>
      <c r="GO31" s="206"/>
      <c r="GP31" s="288"/>
      <c r="GQ31" s="288"/>
      <c r="GR31" s="288"/>
      <c r="GS31" s="288"/>
      <c r="GT31" s="288"/>
      <c r="GU31" s="288"/>
      <c r="GV31" s="288"/>
      <c r="GW31" s="288"/>
      <c r="GX31" s="288"/>
      <c r="GY31" s="288"/>
      <c r="GZ31" s="288"/>
      <c r="HA31" s="206"/>
      <c r="HB31" s="206"/>
      <c r="HC31" s="288"/>
      <c r="HD31" s="288"/>
      <c r="HE31" s="288"/>
      <c r="HF31" s="288"/>
      <c r="HG31" s="288"/>
      <c r="HH31" s="288"/>
      <c r="HI31" s="288"/>
      <c r="HJ31" s="288"/>
      <c r="HK31" s="288"/>
      <c r="HL31" s="288"/>
      <c r="HM31" s="288"/>
      <c r="HN31" s="206"/>
      <c r="HO31" s="206"/>
      <c r="HP31" s="288"/>
      <c r="HQ31" s="288"/>
      <c r="HR31" s="288"/>
      <c r="HS31" s="288"/>
      <c r="HT31" s="288"/>
      <c r="HU31" s="288"/>
      <c r="HV31" s="288"/>
      <c r="HW31" s="288"/>
      <c r="HX31" s="288"/>
      <c r="HY31" s="288"/>
      <c r="HZ31" s="288"/>
      <c r="IA31" s="206"/>
      <c r="IB31" s="206"/>
      <c r="IC31" s="288"/>
      <c r="ID31" s="288"/>
      <c r="IE31" s="288"/>
      <c r="IF31" s="288"/>
      <c r="IG31" s="288"/>
      <c r="IH31" s="288"/>
      <c r="II31" s="288"/>
      <c r="IJ31" s="288"/>
      <c r="IK31" s="288"/>
      <c r="IL31" s="288"/>
      <c r="IM31" s="288"/>
      <c r="IN31" s="206"/>
      <c r="IO31" s="206"/>
      <c r="IP31" s="288"/>
      <c r="IQ31" s="288"/>
      <c r="IR31" s="288"/>
      <c r="IS31" s="288"/>
      <c r="IT31" s="288"/>
      <c r="IU31" s="288"/>
      <c r="IV31" s="288"/>
    </row>
    <row r="32" spans="1:256" x14ac:dyDescent="0.2">
      <c r="A32" s="217"/>
      <c r="B32" s="218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2"/>
      <c r="O32" s="222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7"/>
      <c r="AB32" s="218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7"/>
      <c r="AO32" s="218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7"/>
      <c r="BB32" s="218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7"/>
      <c r="BO32" s="218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7"/>
      <c r="CB32" s="218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7"/>
      <c r="CO32" s="218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7"/>
      <c r="DB32" s="218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7"/>
      <c r="DO32" s="218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7"/>
      <c r="EB32" s="218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7"/>
      <c r="EO32" s="218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7"/>
      <c r="FB32" s="218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7"/>
      <c r="FO32" s="218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7"/>
      <c r="GB32" s="218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7"/>
      <c r="GO32" s="218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7"/>
      <c r="HB32" s="218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7"/>
      <c r="HO32" s="218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7"/>
      <c r="IB32" s="218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7"/>
      <c r="IO32" s="218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7"/>
      <c r="B33" s="218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0"/>
      <c r="O38" s="210"/>
      <c r="P38" s="289"/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06"/>
      <c r="AB38" s="206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06"/>
      <c r="AO38" s="206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06"/>
      <c r="BB38" s="206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  <c r="BM38" s="288"/>
      <c r="BN38" s="206"/>
      <c r="BO38" s="206"/>
      <c r="BP38" s="288"/>
      <c r="BQ38" s="288"/>
      <c r="BR38" s="288"/>
      <c r="BS38" s="288"/>
      <c r="BT38" s="288"/>
      <c r="BU38" s="288"/>
      <c r="BV38" s="288"/>
      <c r="BW38" s="288"/>
      <c r="BX38" s="288"/>
      <c r="BY38" s="288"/>
      <c r="BZ38" s="288"/>
      <c r="CA38" s="206"/>
      <c r="CB38" s="206"/>
      <c r="CC38" s="288"/>
      <c r="CD38" s="288"/>
      <c r="CE38" s="288"/>
      <c r="CF38" s="288"/>
      <c r="CG38" s="288"/>
      <c r="CH38" s="288"/>
      <c r="CI38" s="288"/>
      <c r="CJ38" s="288"/>
      <c r="CK38" s="288"/>
      <c r="CL38" s="288"/>
      <c r="CM38" s="288"/>
      <c r="CN38" s="206"/>
      <c r="CO38" s="206"/>
      <c r="CP38" s="288"/>
      <c r="CQ38" s="288"/>
      <c r="CR38" s="288"/>
      <c r="CS38" s="288"/>
      <c r="CT38" s="288"/>
      <c r="CU38" s="288"/>
      <c r="CV38" s="288"/>
      <c r="CW38" s="288"/>
      <c r="CX38" s="288"/>
      <c r="CY38" s="288"/>
      <c r="CZ38" s="288"/>
      <c r="DA38" s="206"/>
      <c r="DB38" s="206"/>
      <c r="DC38" s="288"/>
      <c r="DD38" s="288"/>
      <c r="DE38" s="288"/>
      <c r="DF38" s="288"/>
      <c r="DG38" s="288"/>
      <c r="DH38" s="288"/>
      <c r="DI38" s="288"/>
      <c r="DJ38" s="288"/>
      <c r="DK38" s="288"/>
      <c r="DL38" s="288"/>
      <c r="DM38" s="288"/>
      <c r="DN38" s="206"/>
      <c r="DO38" s="206"/>
      <c r="DP38" s="288"/>
      <c r="DQ38" s="288"/>
      <c r="DR38" s="288"/>
      <c r="DS38" s="288"/>
      <c r="DT38" s="288"/>
      <c r="DU38" s="288"/>
      <c r="DV38" s="288"/>
      <c r="DW38" s="288"/>
      <c r="DX38" s="288"/>
      <c r="DY38" s="288"/>
      <c r="DZ38" s="288"/>
      <c r="EA38" s="206"/>
      <c r="EB38" s="206"/>
      <c r="EC38" s="288"/>
      <c r="ED38" s="288"/>
      <c r="EE38" s="288"/>
      <c r="EF38" s="288"/>
      <c r="EG38" s="288"/>
      <c r="EH38" s="288"/>
      <c r="EI38" s="288"/>
      <c r="EJ38" s="288"/>
      <c r="EK38" s="288"/>
      <c r="EL38" s="288"/>
      <c r="EM38" s="288"/>
      <c r="EN38" s="206"/>
      <c r="EO38" s="206"/>
      <c r="EP38" s="288"/>
      <c r="EQ38" s="288"/>
      <c r="ER38" s="288"/>
      <c r="ES38" s="288"/>
      <c r="ET38" s="288"/>
      <c r="EU38" s="288"/>
      <c r="EV38" s="288"/>
      <c r="EW38" s="288"/>
      <c r="EX38" s="288"/>
      <c r="EY38" s="288"/>
      <c r="EZ38" s="288"/>
      <c r="FA38" s="206"/>
      <c r="FB38" s="206"/>
      <c r="FC38" s="288"/>
      <c r="FD38" s="288"/>
      <c r="FE38" s="288"/>
      <c r="FF38" s="288"/>
      <c r="FG38" s="288"/>
      <c r="FH38" s="288"/>
      <c r="FI38" s="288"/>
      <c r="FJ38" s="288"/>
      <c r="FK38" s="288"/>
      <c r="FL38" s="288"/>
      <c r="FM38" s="288"/>
      <c r="FN38" s="206"/>
      <c r="FO38" s="206"/>
      <c r="FP38" s="288"/>
      <c r="FQ38" s="288"/>
      <c r="FR38" s="288"/>
      <c r="FS38" s="288"/>
      <c r="FT38" s="288"/>
      <c r="FU38" s="288"/>
      <c r="FV38" s="288"/>
      <c r="FW38" s="288"/>
      <c r="FX38" s="288"/>
      <c r="FY38" s="288"/>
      <c r="FZ38" s="288"/>
      <c r="GA38" s="206"/>
      <c r="GB38" s="206"/>
      <c r="GC38" s="288"/>
      <c r="GD38" s="288"/>
      <c r="GE38" s="288"/>
      <c r="GF38" s="288"/>
      <c r="GG38" s="288"/>
      <c r="GH38" s="288"/>
      <c r="GI38" s="288"/>
      <c r="GJ38" s="288"/>
      <c r="GK38" s="288"/>
      <c r="GL38" s="288"/>
      <c r="GM38" s="288"/>
      <c r="GN38" s="206"/>
      <c r="GO38" s="206"/>
      <c r="GP38" s="288"/>
      <c r="GQ38" s="288"/>
      <c r="GR38" s="288"/>
      <c r="GS38" s="288"/>
      <c r="GT38" s="288"/>
      <c r="GU38" s="288"/>
      <c r="GV38" s="288"/>
      <c r="GW38" s="288"/>
      <c r="GX38" s="288"/>
      <c r="GY38" s="288"/>
      <c r="GZ38" s="288"/>
      <c r="HA38" s="206"/>
      <c r="HB38" s="206"/>
      <c r="HC38" s="288"/>
      <c r="HD38" s="288"/>
      <c r="HE38" s="288"/>
      <c r="HF38" s="288"/>
      <c r="HG38" s="288"/>
      <c r="HH38" s="288"/>
      <c r="HI38" s="288"/>
      <c r="HJ38" s="288"/>
      <c r="HK38" s="288"/>
      <c r="HL38" s="288"/>
      <c r="HM38" s="288"/>
      <c r="HN38" s="206"/>
      <c r="HO38" s="206"/>
      <c r="HP38" s="288"/>
      <c r="HQ38" s="288"/>
      <c r="HR38" s="288"/>
      <c r="HS38" s="288"/>
      <c r="HT38" s="288"/>
      <c r="HU38" s="288"/>
      <c r="HV38" s="288"/>
      <c r="HW38" s="288"/>
      <c r="HX38" s="288"/>
      <c r="HY38" s="288"/>
      <c r="HZ38" s="288"/>
      <c r="IA38" s="206"/>
      <c r="IB38" s="206"/>
      <c r="IC38" s="288"/>
      <c r="ID38" s="288"/>
      <c r="IE38" s="288"/>
      <c r="IF38" s="288"/>
      <c r="IG38" s="288"/>
      <c r="IH38" s="288"/>
      <c r="II38" s="288"/>
      <c r="IJ38" s="288"/>
      <c r="IK38" s="288"/>
      <c r="IL38" s="288"/>
      <c r="IM38" s="288"/>
      <c r="IN38" s="206"/>
      <c r="IO38" s="206"/>
      <c r="IP38" s="288"/>
      <c r="IQ38" s="288"/>
      <c r="IR38" s="288"/>
      <c r="IS38" s="288"/>
      <c r="IT38" s="288"/>
      <c r="IU38" s="288"/>
      <c r="IV38" s="288"/>
    </row>
    <row r="39" spans="1:256" x14ac:dyDescent="0.2">
      <c r="A39" s="217"/>
      <c r="B39" s="218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0"/>
      <c r="O39" s="210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06"/>
      <c r="AB39" s="206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06"/>
      <c r="AO39" s="206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06"/>
      <c r="BB39" s="206"/>
      <c r="BC39" s="288"/>
      <c r="BD39" s="288"/>
      <c r="BE39" s="288"/>
      <c r="BF39" s="288"/>
      <c r="BG39" s="288"/>
      <c r="BH39" s="288"/>
      <c r="BI39" s="288"/>
      <c r="BJ39" s="288"/>
      <c r="BK39" s="288"/>
      <c r="BL39" s="288"/>
      <c r="BM39" s="288"/>
      <c r="BN39" s="206"/>
      <c r="BO39" s="206"/>
      <c r="BP39" s="288"/>
      <c r="BQ39" s="288"/>
      <c r="BR39" s="288"/>
      <c r="BS39" s="288"/>
      <c r="BT39" s="288"/>
      <c r="BU39" s="288"/>
      <c r="BV39" s="288"/>
      <c r="BW39" s="288"/>
      <c r="BX39" s="288"/>
      <c r="BY39" s="288"/>
      <c r="BZ39" s="288"/>
      <c r="CA39" s="206"/>
      <c r="CB39" s="206"/>
      <c r="CC39" s="288"/>
      <c r="CD39" s="288"/>
      <c r="CE39" s="288"/>
      <c r="CF39" s="288"/>
      <c r="CG39" s="288"/>
      <c r="CH39" s="288"/>
      <c r="CI39" s="288"/>
      <c r="CJ39" s="288"/>
      <c r="CK39" s="288"/>
      <c r="CL39" s="288"/>
      <c r="CM39" s="288"/>
      <c r="CN39" s="206"/>
      <c r="CO39" s="206"/>
      <c r="CP39" s="288"/>
      <c r="CQ39" s="288"/>
      <c r="CR39" s="288"/>
      <c r="CS39" s="288"/>
      <c r="CT39" s="288"/>
      <c r="CU39" s="288"/>
      <c r="CV39" s="288"/>
      <c r="CW39" s="288"/>
      <c r="CX39" s="288"/>
      <c r="CY39" s="288"/>
      <c r="CZ39" s="288"/>
      <c r="DA39" s="206"/>
      <c r="DB39" s="206"/>
      <c r="DC39" s="288"/>
      <c r="DD39" s="288"/>
      <c r="DE39" s="288"/>
      <c r="DF39" s="288"/>
      <c r="DG39" s="288"/>
      <c r="DH39" s="288"/>
      <c r="DI39" s="288"/>
      <c r="DJ39" s="288"/>
      <c r="DK39" s="288"/>
      <c r="DL39" s="288"/>
      <c r="DM39" s="288"/>
      <c r="DN39" s="206"/>
      <c r="DO39" s="206"/>
      <c r="DP39" s="288"/>
      <c r="DQ39" s="288"/>
      <c r="DR39" s="288"/>
      <c r="DS39" s="288"/>
      <c r="DT39" s="288"/>
      <c r="DU39" s="288"/>
      <c r="DV39" s="288"/>
      <c r="DW39" s="288"/>
      <c r="DX39" s="288"/>
      <c r="DY39" s="288"/>
      <c r="DZ39" s="288"/>
      <c r="EA39" s="206"/>
      <c r="EB39" s="206"/>
      <c r="EC39" s="288"/>
      <c r="ED39" s="288"/>
      <c r="EE39" s="288"/>
      <c r="EF39" s="288"/>
      <c r="EG39" s="288"/>
      <c r="EH39" s="288"/>
      <c r="EI39" s="288"/>
      <c r="EJ39" s="288"/>
      <c r="EK39" s="288"/>
      <c r="EL39" s="288"/>
      <c r="EM39" s="288"/>
      <c r="EN39" s="206"/>
      <c r="EO39" s="206"/>
      <c r="EP39" s="288"/>
      <c r="EQ39" s="288"/>
      <c r="ER39" s="288"/>
      <c r="ES39" s="288"/>
      <c r="ET39" s="288"/>
      <c r="EU39" s="288"/>
      <c r="EV39" s="288"/>
      <c r="EW39" s="288"/>
      <c r="EX39" s="288"/>
      <c r="EY39" s="288"/>
      <c r="EZ39" s="288"/>
      <c r="FA39" s="206"/>
      <c r="FB39" s="206"/>
      <c r="FC39" s="288"/>
      <c r="FD39" s="288"/>
      <c r="FE39" s="288"/>
      <c r="FF39" s="288"/>
      <c r="FG39" s="288"/>
      <c r="FH39" s="288"/>
      <c r="FI39" s="288"/>
      <c r="FJ39" s="288"/>
      <c r="FK39" s="288"/>
      <c r="FL39" s="288"/>
      <c r="FM39" s="288"/>
      <c r="FN39" s="206"/>
      <c r="FO39" s="206"/>
      <c r="FP39" s="288"/>
      <c r="FQ39" s="288"/>
      <c r="FR39" s="288"/>
      <c r="FS39" s="288"/>
      <c r="FT39" s="288"/>
      <c r="FU39" s="288"/>
      <c r="FV39" s="288"/>
      <c r="FW39" s="288"/>
      <c r="FX39" s="288"/>
      <c r="FY39" s="288"/>
      <c r="FZ39" s="288"/>
      <c r="GA39" s="206"/>
      <c r="GB39" s="206"/>
      <c r="GC39" s="288"/>
      <c r="GD39" s="288"/>
      <c r="GE39" s="288"/>
      <c r="GF39" s="288"/>
      <c r="GG39" s="288"/>
      <c r="GH39" s="288"/>
      <c r="GI39" s="288"/>
      <c r="GJ39" s="288"/>
      <c r="GK39" s="288"/>
      <c r="GL39" s="288"/>
      <c r="GM39" s="288"/>
      <c r="GN39" s="206"/>
      <c r="GO39" s="206"/>
      <c r="GP39" s="288"/>
      <c r="GQ39" s="288"/>
      <c r="GR39" s="288"/>
      <c r="GS39" s="288"/>
      <c r="GT39" s="288"/>
      <c r="GU39" s="288"/>
      <c r="GV39" s="288"/>
      <c r="GW39" s="288"/>
      <c r="GX39" s="288"/>
      <c r="GY39" s="288"/>
      <c r="GZ39" s="288"/>
      <c r="HA39" s="206"/>
      <c r="HB39" s="206"/>
      <c r="HC39" s="288"/>
      <c r="HD39" s="288"/>
      <c r="HE39" s="288"/>
      <c r="HF39" s="288"/>
      <c r="HG39" s="288"/>
      <c r="HH39" s="288"/>
      <c r="HI39" s="288"/>
      <c r="HJ39" s="288"/>
      <c r="HK39" s="288"/>
      <c r="HL39" s="288"/>
      <c r="HM39" s="288"/>
      <c r="HN39" s="206"/>
      <c r="HO39" s="206"/>
      <c r="HP39" s="288"/>
      <c r="HQ39" s="288"/>
      <c r="HR39" s="288"/>
      <c r="HS39" s="288"/>
      <c r="HT39" s="288"/>
      <c r="HU39" s="288"/>
      <c r="HV39" s="288"/>
      <c r="HW39" s="288"/>
      <c r="HX39" s="288"/>
      <c r="HY39" s="288"/>
      <c r="HZ39" s="288"/>
      <c r="IA39" s="206"/>
      <c r="IB39" s="206"/>
      <c r="IC39" s="288"/>
      <c r="ID39" s="288"/>
      <c r="IE39" s="288"/>
      <c r="IF39" s="288"/>
      <c r="IG39" s="288"/>
      <c r="IH39" s="288"/>
      <c r="II39" s="288"/>
      <c r="IJ39" s="288"/>
      <c r="IK39" s="288"/>
      <c r="IL39" s="288"/>
      <c r="IM39" s="288"/>
      <c r="IN39" s="206"/>
      <c r="IO39" s="206"/>
      <c r="IP39" s="288"/>
      <c r="IQ39" s="288"/>
      <c r="IR39" s="288"/>
      <c r="IS39" s="288"/>
      <c r="IT39" s="288"/>
      <c r="IU39" s="288"/>
      <c r="IV39" s="288"/>
    </row>
    <row r="40" spans="1:256" x14ac:dyDescent="0.2">
      <c r="A40" s="217"/>
      <c r="B40" s="218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0"/>
      <c r="O40" s="210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06"/>
      <c r="AB40" s="206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06"/>
      <c r="AO40" s="206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06"/>
      <c r="BB40" s="206"/>
      <c r="BC40" s="288"/>
      <c r="BD40" s="288"/>
      <c r="BE40" s="288"/>
      <c r="BF40" s="288"/>
      <c r="BG40" s="288"/>
      <c r="BH40" s="288"/>
      <c r="BI40" s="288"/>
      <c r="BJ40" s="288"/>
      <c r="BK40" s="288"/>
      <c r="BL40" s="288"/>
      <c r="BM40" s="288"/>
      <c r="BN40" s="206"/>
      <c r="BO40" s="206"/>
      <c r="BP40" s="288"/>
      <c r="BQ40" s="288"/>
      <c r="BR40" s="288"/>
      <c r="BS40" s="288"/>
      <c r="BT40" s="288"/>
      <c r="BU40" s="288"/>
      <c r="BV40" s="288"/>
      <c r="BW40" s="288"/>
      <c r="BX40" s="288"/>
      <c r="BY40" s="288"/>
      <c r="BZ40" s="288"/>
      <c r="CA40" s="206"/>
      <c r="CB40" s="206"/>
      <c r="CC40" s="288"/>
      <c r="CD40" s="288"/>
      <c r="CE40" s="288"/>
      <c r="CF40" s="288"/>
      <c r="CG40" s="288"/>
      <c r="CH40" s="288"/>
      <c r="CI40" s="288"/>
      <c r="CJ40" s="288"/>
      <c r="CK40" s="288"/>
      <c r="CL40" s="288"/>
      <c r="CM40" s="288"/>
      <c r="CN40" s="206"/>
      <c r="CO40" s="206"/>
      <c r="CP40" s="288"/>
      <c r="CQ40" s="288"/>
      <c r="CR40" s="288"/>
      <c r="CS40" s="288"/>
      <c r="CT40" s="288"/>
      <c r="CU40" s="288"/>
      <c r="CV40" s="288"/>
      <c r="CW40" s="288"/>
      <c r="CX40" s="288"/>
      <c r="CY40" s="288"/>
      <c r="CZ40" s="288"/>
      <c r="DA40" s="206"/>
      <c r="DB40" s="206"/>
      <c r="DC40" s="288"/>
      <c r="DD40" s="288"/>
      <c r="DE40" s="288"/>
      <c r="DF40" s="288"/>
      <c r="DG40" s="288"/>
      <c r="DH40" s="288"/>
      <c r="DI40" s="288"/>
      <c r="DJ40" s="288"/>
      <c r="DK40" s="288"/>
      <c r="DL40" s="288"/>
      <c r="DM40" s="288"/>
      <c r="DN40" s="206"/>
      <c r="DO40" s="206"/>
      <c r="DP40" s="288"/>
      <c r="DQ40" s="288"/>
      <c r="DR40" s="288"/>
      <c r="DS40" s="288"/>
      <c r="DT40" s="288"/>
      <c r="DU40" s="288"/>
      <c r="DV40" s="288"/>
      <c r="DW40" s="288"/>
      <c r="DX40" s="288"/>
      <c r="DY40" s="288"/>
      <c r="DZ40" s="288"/>
      <c r="EA40" s="206"/>
      <c r="EB40" s="206"/>
      <c r="EC40" s="288"/>
      <c r="ED40" s="288"/>
      <c r="EE40" s="288"/>
      <c r="EF40" s="288"/>
      <c r="EG40" s="288"/>
      <c r="EH40" s="288"/>
      <c r="EI40" s="288"/>
      <c r="EJ40" s="288"/>
      <c r="EK40" s="288"/>
      <c r="EL40" s="288"/>
      <c r="EM40" s="288"/>
      <c r="EN40" s="206"/>
      <c r="EO40" s="206"/>
      <c r="EP40" s="288"/>
      <c r="EQ40" s="288"/>
      <c r="ER40" s="288"/>
      <c r="ES40" s="288"/>
      <c r="ET40" s="288"/>
      <c r="EU40" s="288"/>
      <c r="EV40" s="288"/>
      <c r="EW40" s="288"/>
      <c r="EX40" s="288"/>
      <c r="EY40" s="288"/>
      <c r="EZ40" s="288"/>
      <c r="FA40" s="206"/>
      <c r="FB40" s="206"/>
      <c r="FC40" s="288"/>
      <c r="FD40" s="288"/>
      <c r="FE40" s="288"/>
      <c r="FF40" s="288"/>
      <c r="FG40" s="288"/>
      <c r="FH40" s="288"/>
      <c r="FI40" s="288"/>
      <c r="FJ40" s="288"/>
      <c r="FK40" s="288"/>
      <c r="FL40" s="288"/>
      <c r="FM40" s="288"/>
      <c r="FN40" s="206"/>
      <c r="FO40" s="206"/>
      <c r="FP40" s="288"/>
      <c r="FQ40" s="288"/>
      <c r="FR40" s="288"/>
      <c r="FS40" s="288"/>
      <c r="FT40" s="288"/>
      <c r="FU40" s="288"/>
      <c r="FV40" s="288"/>
      <c r="FW40" s="288"/>
      <c r="FX40" s="288"/>
      <c r="FY40" s="288"/>
      <c r="FZ40" s="288"/>
      <c r="GA40" s="206"/>
      <c r="GB40" s="206"/>
      <c r="GC40" s="288"/>
      <c r="GD40" s="288"/>
      <c r="GE40" s="288"/>
      <c r="GF40" s="288"/>
      <c r="GG40" s="288"/>
      <c r="GH40" s="288"/>
      <c r="GI40" s="288"/>
      <c r="GJ40" s="288"/>
      <c r="GK40" s="288"/>
      <c r="GL40" s="288"/>
      <c r="GM40" s="288"/>
      <c r="GN40" s="206"/>
      <c r="GO40" s="206"/>
      <c r="GP40" s="288"/>
      <c r="GQ40" s="288"/>
      <c r="GR40" s="288"/>
      <c r="GS40" s="288"/>
      <c r="GT40" s="288"/>
      <c r="GU40" s="288"/>
      <c r="GV40" s="288"/>
      <c r="GW40" s="288"/>
      <c r="GX40" s="288"/>
      <c r="GY40" s="288"/>
      <c r="GZ40" s="288"/>
      <c r="HA40" s="206"/>
      <c r="HB40" s="206"/>
      <c r="HC40" s="288"/>
      <c r="HD40" s="288"/>
      <c r="HE40" s="288"/>
      <c r="HF40" s="288"/>
      <c r="HG40" s="288"/>
      <c r="HH40" s="288"/>
      <c r="HI40" s="288"/>
      <c r="HJ40" s="288"/>
      <c r="HK40" s="288"/>
      <c r="HL40" s="288"/>
      <c r="HM40" s="288"/>
      <c r="HN40" s="206"/>
      <c r="HO40" s="206"/>
      <c r="HP40" s="288"/>
      <c r="HQ40" s="288"/>
      <c r="HR40" s="288"/>
      <c r="HS40" s="288"/>
      <c r="HT40" s="288"/>
      <c r="HU40" s="288"/>
      <c r="HV40" s="288"/>
      <c r="HW40" s="288"/>
      <c r="HX40" s="288"/>
      <c r="HY40" s="288"/>
      <c r="HZ40" s="288"/>
      <c r="IA40" s="206"/>
      <c r="IB40" s="206"/>
      <c r="IC40" s="288"/>
      <c r="ID40" s="288"/>
      <c r="IE40" s="288"/>
      <c r="IF40" s="288"/>
      <c r="IG40" s="288"/>
      <c r="IH40" s="288"/>
      <c r="II40" s="288"/>
      <c r="IJ40" s="288"/>
      <c r="IK40" s="288"/>
      <c r="IL40" s="288"/>
      <c r="IM40" s="288"/>
      <c r="IN40" s="206"/>
      <c r="IO40" s="206"/>
      <c r="IP40" s="288"/>
      <c r="IQ40" s="288"/>
      <c r="IR40" s="288"/>
      <c r="IS40" s="288"/>
      <c r="IT40" s="288"/>
      <c r="IU40" s="288"/>
      <c r="IV40" s="288"/>
    </row>
    <row r="41" spans="1:256" x14ac:dyDescent="0.2">
      <c r="A41" s="217"/>
      <c r="B41" s="218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7"/>
      <c r="B60" s="218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7"/>
      <c r="B61" s="218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7"/>
      <c r="B62" s="218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7"/>
      <c r="B63" s="218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7"/>
      <c r="B64" s="218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7"/>
      <c r="B65" s="218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7"/>
      <c r="B66" s="218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7"/>
      <c r="B67" s="218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7"/>
      <c r="B68" s="218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7"/>
      <c r="B69" s="218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19"/>
      <c r="B70" s="220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87" t="s">
        <v>848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0"/>
      <c r="B74" s="210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0"/>
      <c r="B75" s="210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0"/>
      <c r="B76" s="210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0"/>
      <c r="B77" s="210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0"/>
      <c r="B78" s="210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0"/>
      <c r="B79" s="210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0"/>
      <c r="B80" s="210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0"/>
      <c r="B81" s="210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0"/>
      <c r="B82" s="210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0"/>
      <c r="B83" s="210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0"/>
      <c r="B84" s="210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0"/>
      <c r="B85" s="210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0"/>
      <c r="B86" s="210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0"/>
      <c r="B87" s="210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0"/>
      <c r="B88" s="210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0"/>
      <c r="B89" s="210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0"/>
      <c r="B90" s="210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2013-06-14T12:22:24Z</cp:lastPrinted>
  <dcterms:created xsi:type="dcterms:W3CDTF">1997-12-04T19:04:30Z</dcterms:created>
  <dcterms:modified xsi:type="dcterms:W3CDTF">2013-11-14T17:21:13Z</dcterms:modified>
</cp:coreProperties>
</file>