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0" yWindow="0" windowWidth="19440" windowHeight="9735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7" i="1" l="1"/>
  <c r="F109" i="1"/>
  <c r="F49" i="1"/>
  <c r="F14" i="1"/>
  <c r="F13" i="1"/>
  <c r="G471" i="1" l="1"/>
  <c r="F367" i="1" l="1"/>
  <c r="F366" i="1"/>
  <c r="H154" i="1"/>
  <c r="H153" i="1"/>
  <c r="H101" i="1"/>
  <c r="G157" i="1"/>
  <c r="G439" i="1"/>
  <c r="F29" i="1"/>
  <c r="F9" i="1"/>
  <c r="D9" i="13" l="1"/>
  <c r="H603" i="1"/>
  <c r="H522" i="1"/>
  <c r="H521" i="1"/>
  <c r="H357" i="1"/>
  <c r="H281" i="1"/>
  <c r="H278" i="1"/>
  <c r="H276" i="1"/>
  <c r="H239" i="1"/>
  <c r="H233" i="1"/>
  <c r="H221" i="1"/>
  <c r="H215" i="1"/>
  <c r="H208" i="1"/>
  <c r="H206" i="1"/>
  <c r="H203" i="1"/>
  <c r="H202" i="1"/>
  <c r="H201" i="1"/>
  <c r="H199" i="1"/>
  <c r="H196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C109" i="2" s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C113" i="2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E110" i="2" s="1"/>
  <c r="L278" i="1"/>
  <c r="L280" i="1"/>
  <c r="L281" i="1"/>
  <c r="L282" i="1"/>
  <c r="E119" i="2" s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E131" i="2" s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400" i="1" s="1"/>
  <c r="C138" i="2" s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55" i="2" s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J139" i="1" s="1"/>
  <c r="F146" i="1"/>
  <c r="C84" i="2" s="1"/>
  <c r="F161" i="1"/>
  <c r="G146" i="1"/>
  <c r="G161" i="1"/>
  <c r="H146" i="1"/>
  <c r="E84" i="2" s="1"/>
  <c r="H161" i="1"/>
  <c r="I146" i="1"/>
  <c r="I161" i="1"/>
  <c r="I168" i="1" s="1"/>
  <c r="C11" i="10"/>
  <c r="L249" i="1"/>
  <c r="L331" i="1"/>
  <c r="L253" i="1"/>
  <c r="L267" i="1"/>
  <c r="C141" i="2" s="1"/>
  <c r="L268" i="1"/>
  <c r="C142" i="2" s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H551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C31" i="2" s="1"/>
  <c r="D23" i="2"/>
  <c r="E23" i="2"/>
  <c r="F23" i="2"/>
  <c r="I449" i="1"/>
  <c r="J24" i="1" s="1"/>
  <c r="G23" i="2" s="1"/>
  <c r="C24" i="2"/>
  <c r="D24" i="2"/>
  <c r="E24" i="2"/>
  <c r="F24" i="2"/>
  <c r="F31" i="2" s="1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E49" i="2" s="1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F80" i="2" s="1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D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C102" i="2" s="1"/>
  <c r="F93" i="2"/>
  <c r="F102" i="2" s="1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E112" i="2"/>
  <c r="D114" i="2"/>
  <c r="F114" i="2"/>
  <c r="G114" i="2"/>
  <c r="E118" i="2"/>
  <c r="E122" i="2"/>
  <c r="E123" i="2"/>
  <c r="F127" i="2"/>
  <c r="G127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E136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G161" i="2" s="1"/>
  <c r="D161" i="2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F191" i="1" s="1"/>
  <c r="G182" i="1"/>
  <c r="G191" i="1" s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I210" i="1"/>
  <c r="I256" i="1" s="1"/>
  <c r="J210" i="1"/>
  <c r="K210" i="1"/>
  <c r="F228" i="1"/>
  <c r="F256" i="1" s="1"/>
  <c r="F270" i="1" s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6" i="1" s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445" i="1"/>
  <c r="H445" i="1"/>
  <c r="G640" i="1" s="1"/>
  <c r="I445" i="1"/>
  <c r="G641" i="1" s="1"/>
  <c r="F451" i="1"/>
  <c r="G451" i="1"/>
  <c r="H451" i="1"/>
  <c r="I451" i="1"/>
  <c r="F459" i="1"/>
  <c r="G459" i="1"/>
  <c r="H459" i="1"/>
  <c r="I459" i="1"/>
  <c r="I460" i="1" s="1"/>
  <c r="H641" i="1" s="1"/>
  <c r="F460" i="1"/>
  <c r="G460" i="1"/>
  <c r="H460" i="1"/>
  <c r="H640" i="1" s="1"/>
  <c r="F469" i="1"/>
  <c r="G469" i="1"/>
  <c r="H469" i="1"/>
  <c r="I469" i="1"/>
  <c r="J469" i="1"/>
  <c r="J475" i="1" s="1"/>
  <c r="H625" i="1" s="1"/>
  <c r="F473" i="1"/>
  <c r="G473" i="1"/>
  <c r="H473" i="1"/>
  <c r="H475" i="1" s="1"/>
  <c r="H623" i="1" s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H570" i="1" s="1"/>
  <c r="I564" i="1"/>
  <c r="J564" i="1"/>
  <c r="K564" i="1"/>
  <c r="L566" i="1"/>
  <c r="L567" i="1"/>
  <c r="L569" i="1" s="1"/>
  <c r="L568" i="1"/>
  <c r="F569" i="1"/>
  <c r="G569" i="1"/>
  <c r="H569" i="1"/>
  <c r="I569" i="1"/>
  <c r="J569" i="1"/>
  <c r="K569" i="1"/>
  <c r="K570" i="1" s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22" i="1"/>
  <c r="G623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8" i="1"/>
  <c r="J638" i="1" s="1"/>
  <c r="H638" i="1"/>
  <c r="G639" i="1"/>
  <c r="H639" i="1"/>
  <c r="G642" i="1"/>
  <c r="H642" i="1"/>
  <c r="G643" i="1"/>
  <c r="H644" i="1"/>
  <c r="G649" i="1"/>
  <c r="G651" i="1"/>
  <c r="H651" i="1"/>
  <c r="G652" i="1"/>
  <c r="H652" i="1"/>
  <c r="G653" i="1"/>
  <c r="H653" i="1"/>
  <c r="H654" i="1"/>
  <c r="A40" i="12"/>
  <c r="F61" i="2"/>
  <c r="F49" i="2"/>
  <c r="G102" i="2"/>
  <c r="D90" i="2"/>
  <c r="G61" i="2"/>
  <c r="E77" i="2"/>
  <c r="G22" i="2"/>
  <c r="J551" i="1"/>
  <c r="J639" i="1"/>
  <c r="G36" i="2"/>
  <c r="J616" i="1" l="1"/>
  <c r="G621" i="1"/>
  <c r="J643" i="1"/>
  <c r="H544" i="1"/>
  <c r="F475" i="1"/>
  <c r="H621" i="1" s="1"/>
  <c r="J621" i="1" s="1"/>
  <c r="J640" i="1"/>
  <c r="F18" i="2"/>
  <c r="E124" i="2"/>
  <c r="E111" i="2"/>
  <c r="K499" i="1"/>
  <c r="I475" i="1"/>
  <c r="H624" i="1" s="1"/>
  <c r="K337" i="1"/>
  <c r="E102" i="2"/>
  <c r="G660" i="1"/>
  <c r="F168" i="1"/>
  <c r="D19" i="13"/>
  <c r="C19" i="13" s="1"/>
  <c r="G650" i="1"/>
  <c r="K604" i="1"/>
  <c r="G647" i="1" s="1"/>
  <c r="I570" i="1"/>
  <c r="F570" i="1"/>
  <c r="L559" i="1"/>
  <c r="K544" i="1"/>
  <c r="G544" i="1"/>
  <c r="G163" i="2"/>
  <c r="G160" i="2"/>
  <c r="G159" i="2"/>
  <c r="G156" i="2"/>
  <c r="G155" i="2"/>
  <c r="D80" i="2"/>
  <c r="D61" i="2"/>
  <c r="D62" i="2" s="1"/>
  <c r="D31" i="2"/>
  <c r="D50" i="2" s="1"/>
  <c r="I551" i="1"/>
  <c r="C32" i="10"/>
  <c r="C35" i="10"/>
  <c r="A31" i="12"/>
  <c r="L361" i="1"/>
  <c r="F22" i="13"/>
  <c r="C22" i="13" s="1"/>
  <c r="C25" i="10"/>
  <c r="E113" i="2"/>
  <c r="L327" i="1"/>
  <c r="E121" i="2"/>
  <c r="E117" i="2"/>
  <c r="E127" i="2" s="1"/>
  <c r="H660" i="1"/>
  <c r="D18" i="13"/>
  <c r="C18" i="13" s="1"/>
  <c r="D17" i="13"/>
  <c r="C17" i="13" s="1"/>
  <c r="E120" i="2"/>
  <c r="J642" i="1"/>
  <c r="J623" i="1"/>
  <c r="L418" i="1"/>
  <c r="G337" i="1"/>
  <c r="G351" i="1" s="1"/>
  <c r="F50" i="2"/>
  <c r="G644" i="1"/>
  <c r="J644" i="1" s="1"/>
  <c r="J570" i="1"/>
  <c r="L564" i="1"/>
  <c r="J544" i="1"/>
  <c r="G475" i="1"/>
  <c r="H622" i="1" s="1"/>
  <c r="J622" i="1" s="1"/>
  <c r="F337" i="1"/>
  <c r="F351" i="1" s="1"/>
  <c r="K549" i="1"/>
  <c r="F129" i="2"/>
  <c r="F143" i="2" s="1"/>
  <c r="F144" i="2" s="1"/>
  <c r="C23" i="10"/>
  <c r="E109" i="2"/>
  <c r="J633" i="1"/>
  <c r="H168" i="1"/>
  <c r="H192" i="1" s="1"/>
  <c r="G628" i="1" s="1"/>
  <c r="J628" i="1" s="1"/>
  <c r="H111" i="1"/>
  <c r="C90" i="2"/>
  <c r="C77" i="2"/>
  <c r="C69" i="2"/>
  <c r="C61" i="2"/>
  <c r="L392" i="1"/>
  <c r="C137" i="2" s="1"/>
  <c r="E31" i="2"/>
  <c r="E50" i="2" s="1"/>
  <c r="E18" i="2"/>
  <c r="D18" i="2"/>
  <c r="C49" i="2"/>
  <c r="C50" i="2" s="1"/>
  <c r="C18" i="2"/>
  <c r="J650" i="1"/>
  <c r="K597" i="1"/>
  <c r="G646" i="1" s="1"/>
  <c r="F551" i="1"/>
  <c r="K550" i="1"/>
  <c r="G551" i="1"/>
  <c r="I544" i="1"/>
  <c r="D126" i="2"/>
  <c r="D127" i="2" s="1"/>
  <c r="D144" i="2" s="1"/>
  <c r="H337" i="1"/>
  <c r="H351" i="1" s="1"/>
  <c r="L308" i="1"/>
  <c r="L337" i="1" s="1"/>
  <c r="L351" i="1" s="1"/>
  <c r="G632" i="1" s="1"/>
  <c r="J632" i="1" s="1"/>
  <c r="G661" i="1"/>
  <c r="L289" i="1"/>
  <c r="J654" i="1"/>
  <c r="H25" i="13"/>
  <c r="C25" i="13" s="1"/>
  <c r="L269" i="1"/>
  <c r="C15" i="10"/>
  <c r="K256" i="1"/>
  <c r="K270" i="1" s="1"/>
  <c r="H256" i="1"/>
  <c r="H270" i="1" s="1"/>
  <c r="L246" i="1"/>
  <c r="H659" i="1" s="1"/>
  <c r="C124" i="2"/>
  <c r="C21" i="10"/>
  <c r="C20" i="10"/>
  <c r="E13" i="13"/>
  <c r="C13" i="13" s="1"/>
  <c r="C120" i="2"/>
  <c r="C16" i="10"/>
  <c r="D6" i="13"/>
  <c r="C6" i="13" s="1"/>
  <c r="C111" i="2"/>
  <c r="C12" i="10"/>
  <c r="J256" i="1"/>
  <c r="J270" i="1" s="1"/>
  <c r="G256" i="1"/>
  <c r="G270" i="1" s="1"/>
  <c r="A13" i="12"/>
  <c r="L228" i="1"/>
  <c r="E16" i="13"/>
  <c r="C16" i="13" s="1"/>
  <c r="C122" i="2"/>
  <c r="D14" i="13"/>
  <c r="C14" i="13" s="1"/>
  <c r="D12" i="13"/>
  <c r="C12" i="13" s="1"/>
  <c r="C17" i="10"/>
  <c r="C118" i="2"/>
  <c r="D7" i="13"/>
  <c r="C7" i="13" s="1"/>
  <c r="L210" i="1"/>
  <c r="F659" i="1" s="1"/>
  <c r="C108" i="2"/>
  <c r="D5" i="13"/>
  <c r="C5" i="13" s="1"/>
  <c r="F111" i="1"/>
  <c r="L350" i="1"/>
  <c r="L538" i="1"/>
  <c r="K502" i="1"/>
  <c r="L381" i="1"/>
  <c r="G635" i="1" s="1"/>
  <c r="J635" i="1" s="1"/>
  <c r="L336" i="1"/>
  <c r="E108" i="2"/>
  <c r="E114" i="2" s="1"/>
  <c r="E56" i="2"/>
  <c r="E61" i="2" s="1"/>
  <c r="E62" i="2" s="1"/>
  <c r="F660" i="1"/>
  <c r="C10" i="10"/>
  <c r="K548" i="1"/>
  <c r="D29" i="13"/>
  <c r="C29" i="13" s="1"/>
  <c r="F62" i="2"/>
  <c r="F103" i="2" s="1"/>
  <c r="D15" i="13"/>
  <c r="C15" i="13" s="1"/>
  <c r="G648" i="1"/>
  <c r="J648" i="1" s="1"/>
  <c r="L543" i="1"/>
  <c r="L523" i="1"/>
  <c r="J337" i="1"/>
  <c r="J351" i="1" s="1"/>
  <c r="E129" i="2"/>
  <c r="E143" i="2" s="1"/>
  <c r="C123" i="2"/>
  <c r="C121" i="2"/>
  <c r="C119" i="2"/>
  <c r="C117" i="2"/>
  <c r="C110" i="2"/>
  <c r="C55" i="2"/>
  <c r="F661" i="1"/>
  <c r="C18" i="10"/>
  <c r="C13" i="10"/>
  <c r="E80" i="2"/>
  <c r="I270" i="1"/>
  <c r="K351" i="1"/>
  <c r="C19" i="10"/>
  <c r="C29" i="10"/>
  <c r="E8" i="13"/>
  <c r="C8" i="13" s="1"/>
  <c r="C26" i="10"/>
  <c r="H646" i="1"/>
  <c r="G624" i="1"/>
  <c r="L613" i="1"/>
  <c r="L528" i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G168" i="1"/>
  <c r="C39" i="10" s="1"/>
  <c r="G139" i="1"/>
  <c r="F139" i="1"/>
  <c r="G62" i="2"/>
  <c r="G103" i="2" s="1"/>
  <c r="J617" i="1"/>
  <c r="G42" i="2"/>
  <c r="G49" i="2" s="1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J651" i="1"/>
  <c r="J641" i="1"/>
  <c r="G570" i="1"/>
  <c r="I433" i="1"/>
  <c r="G433" i="1"/>
  <c r="I662" i="1"/>
  <c r="C27" i="10"/>
  <c r="G634" i="1"/>
  <c r="J634" i="1" s="1"/>
  <c r="J624" i="1" l="1"/>
  <c r="G50" i="2"/>
  <c r="H663" i="1"/>
  <c r="H666" i="1" s="1"/>
  <c r="C80" i="2"/>
  <c r="D31" i="13"/>
  <c r="C31" i="13" s="1"/>
  <c r="H33" i="13"/>
  <c r="I660" i="1"/>
  <c r="C36" i="10"/>
  <c r="G659" i="1"/>
  <c r="E103" i="2"/>
  <c r="C62" i="2"/>
  <c r="C103" i="2" s="1"/>
  <c r="J646" i="1"/>
  <c r="K551" i="1"/>
  <c r="L544" i="1"/>
  <c r="I661" i="1"/>
  <c r="G663" i="1"/>
  <c r="G666" i="1" s="1"/>
  <c r="L256" i="1"/>
  <c r="L270" i="1" s="1"/>
  <c r="G631" i="1" s="1"/>
  <c r="J631" i="1" s="1"/>
  <c r="H647" i="1"/>
  <c r="J647" i="1" s="1"/>
  <c r="C28" i="10"/>
  <c r="D24" i="10" s="1"/>
  <c r="C114" i="2"/>
  <c r="I659" i="1"/>
  <c r="C127" i="2"/>
  <c r="E33" i="13"/>
  <c r="D35" i="13" s="1"/>
  <c r="F192" i="1"/>
  <c r="G626" i="1" s="1"/>
  <c r="J626" i="1" s="1"/>
  <c r="L407" i="1"/>
  <c r="F663" i="1"/>
  <c r="E144" i="2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I663" i="1" l="1"/>
  <c r="I671" i="1" s="1"/>
  <c r="C7" i="10" s="1"/>
  <c r="H671" i="1"/>
  <c r="C6" i="10" s="1"/>
  <c r="D23" i="10"/>
  <c r="G671" i="1"/>
  <c r="C5" i="10" s="1"/>
  <c r="D10" i="10"/>
  <c r="C30" i="10"/>
  <c r="D26" i="10"/>
  <c r="D16" i="10"/>
  <c r="D13" i="10"/>
  <c r="D11" i="10"/>
  <c r="D21" i="10"/>
  <c r="D22" i="10"/>
  <c r="C144" i="2"/>
  <c r="D27" i="10"/>
  <c r="D20" i="10"/>
  <c r="D18" i="10"/>
  <c r="D15" i="10"/>
  <c r="D17" i="10"/>
  <c r="D25" i="10"/>
  <c r="D12" i="10"/>
  <c r="D19" i="10"/>
  <c r="F671" i="1"/>
  <c r="C4" i="10" s="1"/>
  <c r="F666" i="1"/>
  <c r="G636" i="1"/>
  <c r="J636" i="1" s="1"/>
  <c r="H645" i="1"/>
  <c r="J645" i="1" s="1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<sst xmlns="http://schemas.openxmlformats.org/spreadsheetml/2006/main" count="3944" uniqueCount="910">
  <si>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</si>
  <si>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</si>
  <si>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</si>
  <si>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</si>
  <si>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</si>
  <si>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</si>
  <si>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</si>
  <si>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</si>
  <si>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</si>
  <si>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</si>
  <si>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</si>
  <si>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</si>
  <si>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</si>
  <si>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</si>
  <si>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</si>
  <si>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</si>
  <si>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</si>
  <si>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</si>
  <si>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</si>
  <si>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</si>
  <si>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</si>
  <si>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</si>
  <si>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</si>
  <si>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</si>
  <si>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</si>
  <si>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</si>
  <si>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</si>
  <si>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</si>
  <si>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</si>
  <si>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</si>
  <si>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</si>
  <si>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</si>
  <si>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</si>
  <si>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</si>
  <si>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</si>
  <si>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</si>
  <si>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</si>
  <si>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</si>
  <si>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</si>
  <si>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</si>
  <si>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</si>
  <si>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</si>
  <si>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</si>
  <si>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</si>
  <si>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</si>
  <si>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</si>
  <si>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</si>
  <si>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</si>
  <si>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</si>
  <si>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</si>
  <si>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</si>
  <si>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</si>
  <si>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</si>
  <si>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</si>
  <si>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</si>
  <si>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</si>
  <si>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</si>
  <si>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</si>
  <si>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</si>
  <si>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</si>
  <si>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</si>
  <si>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</si>
  <si>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</si>
  <si>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</si>
  <si>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</si>
  <si>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</si>
  <si>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</si>
  <si>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</si>
  <si>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</si>
  <si>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</si>
  <si>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</si>
  <si>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</si>
  <si>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</si>
  <si>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</si>
  <si>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</si>
  <si>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</si>
  <si>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</si>
  <si>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</si>
  <si>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</si>
  <si>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</si>
  <si>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</si>
  <si>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</si>
  <si>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</si>
  <si>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</si>
  <si>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</si>
  <si>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</si>
  <si>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</si>
  <si>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</si>
  <si>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</si>
  <si>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</si>
  <si>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</si>
  <si>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</si>
  <si>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</si>
  <si>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</si>
  <si>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</si>
  <si>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</si>
  <si>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</si>
  <si>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</si>
  <si>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</si>
  <si>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</si>
  <si>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</si>
  <si>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</si>
  <si>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</si>
  <si>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</si>
  <si>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</si>
  <si>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</si>
  <si>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</si>
  <si>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</si>
  <si>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</si>
  <si>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</si>
  <si>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</si>
  <si>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</si>
  <si>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</si>
  <si>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</si>
  <si>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</si>
  <si>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</si>
  <si>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</si>
  <si>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</si>
  <si>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</si>
  <si>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</si>
  <si>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</si>
  <si>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</si>
  <si>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</si>
  <si>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</si>
  <si>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</si>
  <si>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</si>
  <si>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</si>
  <si>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</si>
  <si>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</si>
  <si>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</si>
  <si>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</si>
  <si>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</si>
  <si>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</si>
  <si>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</si>
  <si>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</si>
  <si>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</si>
  <si>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</si>
  <si>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</si>
  <si>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</si>
  <si>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</si>
  <si>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</si>
  <si>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</si>
  <si>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</si>
  <si>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</si>
  <si>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</si>
  <si>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</si>
  <si>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</si>
  <si>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</si>
  <si>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</si>
  <si>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</si>
  <si>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</si>
  <si>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</si>
  <si>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</si>
  <si>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</si>
  <si>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</si>
  <si>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</si>
  <si>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</si>
  <si>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</si>
  <si>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</si>
  <si>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</si>
  <si>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</si>
  <si>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</si>
  <si>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</si>
  <si>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</si>
  <si>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</si>
  <si>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</si>
  <si>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</si>
  <si>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</si>
  <si>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</si>
  <si>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</si>
  <si>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</si>
  <si>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</si>
  <si>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</si>
  <si>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</si>
  <si>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</si>
  <si>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</si>
  <si>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</si>
  <si>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</si>
  <si>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</si>
  <si>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</si>
  <si>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</si>
  <si>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</si>
  <si>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</si>
  <si>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</si>
  <si>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</si>
  <si>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</si>
  <si>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</si>
  <si>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</si>
  <si>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</si>
  <si>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</si>
  <si>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</si>
  <si>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</si>
  <si>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</si>
  <si>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</si>
  <si>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</si>
  <si>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</si>
  <si>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</si>
  <si>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</si>
  <si>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</si>
  <si>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</si>
  <si>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</si>
  <si>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</si>
  <si>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</si>
  <si>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</si>
  <si>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</si>
  <si>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</si>
  <si>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</si>
  <si>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</si>
  <si>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</si>
  <si>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</si>
  <si>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</si>
  <si>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</si>
  <si>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</si>
  <si>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</si>
  <si>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</si>
  <si>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</si>
  <si>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</si>
  <si>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</si>
  <si>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</si>
  <si>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</si>
  <si>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</si>
  <si>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</si>
  <si>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</si>
  <si>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</si>
  <si>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</si>
  <si>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</si>
  <si>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</si>
  <si>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</si>
  <si>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</si>
  <si>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</si>
  <si>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</si>
  <si>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</si>
  <si>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</si>
  <si>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</si>
  <si>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</si>
  <si>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</si>
  <si>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</si>
  <si>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</si>
  <si>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</si>
  <si>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</si>
  <si>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</si>
  <si>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</si>
  <si>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</si>
  <si>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</si>
  <si>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</si>
  <si>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</si>
  <si>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</si>
  <si>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</si>
  <si>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</si>
  <si>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</si>
  <si>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</si>
  <si>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</si>
  <si>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</si>
  <si>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</si>
  <si>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</si>
  <si>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</si>
  <si>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</si>
  <si>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</si>
  <si>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</si>
  <si>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</si>
  <si>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</si>
  <si>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</si>
  <si>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</si>
  <si>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</si>
  <si>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</si>
  <si>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</si>
  <si>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</si>
  <si>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</si>
  <si>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</si>
  <si>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</si>
  <si>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</si>
  <si>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</si>
  <si>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</si>
  <si>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</si>
  <si>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</si>
  <si>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</si>
  <si>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</si>
  <si>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</si>
  <si>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</si>
  <si>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</si>
  <si>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</si>
  <si>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</si>
  <si>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</si>
  <si>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</si>
  <si>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</si>
  <si>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</si>
  <si>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</si>
  <si>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</si>
  <si>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</si>
  <si>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</si>
  <si>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</si>
  <si>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</si>
  <si>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</si>
  <si>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</si>
  <si>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</si>
  <si>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</si>
  <si>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</si>
  <si>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</si>
  <si>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</si>
  <si>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</si>
  <si>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</si>
  <si>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</si>
  <si>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</si>
  <si>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</si>
  <si>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</si>
  <si>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</si>
  <si>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</si>
  <si>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</si>
  <si>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</si>
  <si>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</si>
  <si>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</si>
  <si>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</si>
  <si>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</si>
  <si>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</si>
  <si>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</si>
  <si>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</si>
  <si>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</si>
  <si>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</si>
  <si>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</si>
  <si>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</si>
  <si>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</si>
  <si>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</si>
  <si>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</si>
  <si>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</si>
  <si>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</si>
  <si>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</si>
  <si>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</si>
  <si>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</si>
  <si>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</si>
  <si>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</si>
  <si>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</si>
  <si>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</si>
  <si>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</si>
  <si>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</si>
  <si>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</si>
  <si>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</si>
  <si>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</si>
  <si>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</si>
  <si>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</si>
  <si>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</si>
  <si>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</si>
  <si>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</si>
  <si>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</si>
  <si>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</si>
  <si>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</si>
  <si>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</si>
  <si>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</si>
  <si>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</si>
  <si>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</si>
  <si>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</si>
  <si>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</si>
  <si>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</si>
  <si>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</si>
  <si>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</si>
  <si>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</si>
  <si>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</si>
  <si>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</si>
  <si>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</si>
  <si>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</si>
  <si>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</si>
  <si>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</si>
  <si>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</si>
  <si>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</si>
  <si>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</si>
  <si>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</si>
  <si>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</si>
  <si>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</si>
  <si>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</si>
  <si>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</si>
  <si>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</si>
  <si>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</si>
  <si>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</si>
  <si>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</si>
  <si>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</si>
  <si>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</si>
  <si>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</si>
  <si>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</si>
  <si>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</si>
  <si>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</si>
  <si>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</si>
  <si>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</si>
  <si>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</si>
  <si>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</si>
  <si>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</si>
  <si>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</si>
  <si>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</si>
  <si>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</si>
  <si>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</si>
  <si>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</si>
  <si>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</si>
  <si>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</si>
  <si>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</si>
  <si>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</si>
  <si>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</si>
  <si>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</si>
  <si>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</si>
  <si>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</si>
  <si>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</si>
  <si>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</si>
  <si>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</si>
  <si>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</si>
  <si>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</si>
  <si>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</si>
  <si>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</si>
  <si>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</si>
  <si>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</si>
  <si>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</si>
  <si>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</si>
  <si>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</si>
  <si>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</si>
  <si>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</si>
  <si>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</si>
  <si>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</si>
  <si>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</si>
  <si>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</si>
  <si>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</si>
  <si>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</si>
  <si>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</si>
  <si>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</si>
  <si>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</si>
  <si>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</si>
  <si>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</si>
  <si>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</si>
  <si>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</si>
  <si>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</si>
  <si>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</si>
  <si>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</si>
  <si>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</si>
  <si>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</si>
  <si>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</si>
  <si>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</si>
  <si>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</si>
  <si>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</si>
  <si>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</si>
  <si>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</si>
  <si>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</si>
  <si>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</si>
  <si>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</si>
  <si>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</si>
  <si>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</si>
  <si>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</si>
  <si>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</si>
  <si>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</si>
  <si>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</si>
  <si>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</si>
  <si>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</si>
  <si>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</si>
  <si>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</si>
  <si>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</si>
  <si>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</si>
  <si>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</si>
  <si>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</si>
  <si>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</si>
  <si>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</si>
  <si>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</si>
  <si>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</si>
  <si>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</si>
  <si>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</si>
  <si>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</si>
  <si>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</si>
  <si>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</si>
  <si>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</si>
  <si>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</si>
  <si>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</si>
  <si>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</si>
  <si>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</si>
  <si>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</si>
  <si>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</si>
  <si>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</si>
  <si>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</si>
  <si>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</si>
  <si>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</si>
  <si>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</si>
  <si>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</si>
  <si>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</si>
  <si>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</si>
  <si>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</si>
  <si>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</si>
  <si>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</si>
  <si>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</si>
  <si>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</si>
  <si>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</si>
  <si>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</si>
  <si>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</si>
  <si>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</si>
  <si>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</si>
  <si>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</si>
  <si>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</si>
  <si>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</si>
  <si>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</si>
  <si>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</si>
  <si>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</si>
  <si>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</si>
  <si>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</si>
  <si>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</si>
  <si>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</si>
  <si>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</si>
  <si>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</si>
  <si>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</si>
  <si>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</si>
  <si>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</si>
  <si>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</si>
  <si>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</si>
  <si>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</si>
  <si>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</si>
  <si>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</si>
  <si>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</si>
  <si>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</si>
  <si>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</si>
  <si>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</si>
  <si>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</si>
  <si>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</si>
  <si>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</si>
  <si>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</si>
  <si>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</si>
  <si>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</si>
  <si>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</si>
  <si>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</si>
  <si>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</si>
  <si>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</si>
  <si>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</si>
  <si>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</si>
  <si>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</si>
  <si>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</si>
  <si>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</si>
  <si>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</si>
  <si>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</si>
  <si>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</si>
  <si>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</si>
  <si>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</si>
  <si>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</si>
  <si>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</si>
  <si>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</si>
  <si>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</si>
  <si>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</si>
  <si>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</si>
  <si>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</si>
  <si>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</si>
  <si>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</si>
  <si>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</si>
  <si>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</si>
  <si>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</si>
  <si>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</si>
  <si>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</si>
  <si>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</si>
  <si>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</si>
  <si>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</si>
  <si>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</si>
  <si>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</si>
  <si>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</si>
  <si>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</si>
  <si>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</si>
  <si>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</si>
  <si>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</si>
  <si>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</si>
  <si>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</si>
  <si>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</si>
  <si>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</si>
  <si>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</si>
  <si>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</si>
  <si>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</si>
  <si>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</si>
  <si>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</si>
  <si>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</si>
  <si>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</si>
  <si>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</si>
  <si>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</si>
  <si>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</si>
  <si>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</si>
  <si>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</si>
  <si>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</si>
  <si>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</si>
  <si>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</si>
  <si>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</si>
  <si>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</si>
  <si>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</si>
  <si>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</si>
  <si>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</si>
  <si>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</si>
  <si>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</si>
  <si>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</si>
  <si>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</si>
  <si>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</si>
  <si>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</si>
  <si>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</si>
  <si>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</si>
  <si>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</si>
  <si>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</si>
  <si>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</si>
  <si>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</si>
  <si>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</si>
  <si>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</si>
  <si>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</si>
  <si>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</si>
  <si>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</si>
  <si>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</si>
  <si>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</si>
  <si>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</si>
  <si>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</si>
  <si>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</si>
  <si>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</si>
  <si>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</si>
  <si>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</si>
  <si>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</si>
  <si>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</si>
  <si>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</si>
  <si>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</si>
  <si>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</si>
  <si>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</si>
  <si>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</si>
  <si>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</si>
  <si>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</si>
  <si>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</si>
  <si>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</si>
  <si>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</si>
  <si>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</si>
  <si>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</si>
  <si>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</si>
  <si>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</si>
  <si>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</si>
  <si>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</si>
  <si>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</si>
  <si>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</si>
  <si>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</si>
  <si>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</si>
  <si>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</si>
  <si>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</si>
  <si>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</si>
  <si>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</si>
  <si>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</si>
  <si>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</si>
  <si>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</si>
  <si>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</si>
  <si>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</si>
  <si>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</si>
  <si>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</si>
  <si>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</si>
  <si>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</si>
  <si>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</si>
  <si>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</si>
  <si>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</si>
  <si>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</si>
  <si>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</si>
  <si>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</si>
  <si>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</si>
  <si>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</si>
  <si>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</si>
  <si>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</si>
  <si>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</si>
  <si>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</si>
  <si>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</si>
  <si>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</si>
  <si>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</si>
  <si>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</si>
  <si>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</si>
  <si>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</si>
  <si>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</si>
  <si>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</si>
  <si>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</si>
  <si>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</si>
  <si>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</si>
  <si>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</si>
  <si>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</si>
  <si>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</si>
  <si>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</si>
  <si>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</si>
  <si>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</si>
  <si>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</si>
  <si>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</si>
  <si>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</si>
  <si>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</si>
  <si>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</si>
  <si>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</si>
  <si>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</si>
  <si>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</si>
  <si>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</si>
  <si>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</si>
  <si>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</si>
  <si>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</si>
  <si>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</si>
  <si>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</si>
  <si>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</si>
  <si>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</si>
  <si>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</si>
  <si>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</si>
  <si>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</si>
  <si>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</si>
  <si>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</si>
  <si>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</si>
  <si>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</si>
  <si>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</si>
  <si>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</si>
  <si>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</si>
  <si>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</si>
  <si>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</si>
  <si>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</si>
  <si>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</si>
  <si>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</si>
  <si>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</si>
  <si>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</si>
  <si>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</si>
  <si>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</si>
  <si>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</si>
  <si>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</si>
  <si>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</si>
  <si>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</si>
  <si>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</si>
  <si>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</si>
  <si>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</si>
  <si>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</si>
  <si>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</si>
  <si>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</si>
  <si>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</si>
  <si>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</si>
  <si>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</si>
  <si>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</si>
  <si>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</si>
  <si>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</si>
  <si>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</si>
  <si>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</si>
  <si>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</si>
  <si>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</si>
  <si>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</si>
  <si>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</si>
  <si>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</si>
  <si>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</si>
  <si>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</si>
  <si>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</si>
  <si>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</si>
  <si>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</si>
  <si>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</si>
  <si>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</si>
  <si>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</si>
  <si>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</si>
  <si>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</si>
  <si>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</si>
  <si>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</si>
  <si>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</si>
  <si>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</si>
  <si>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</si>
  <si>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</si>
  <si>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</si>
  <si>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</si>
  <si>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</si>
  <si>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</si>
  <si>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</si>
  <si>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</si>
  <si>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</si>
  <si>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</si>
  <si>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</si>
  <si>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</si>
  <si>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</si>
  <si>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</si>
  <si>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</si>
  <si>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</si>
  <si>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</si>
  <si>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</si>
  <si>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</si>
  <si>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</si>
  <si>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</si>
  <si>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</si>
  <si>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</si>
  <si>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</si>
  <si>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</si>
  <si>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</si>
  <si>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</si>
  <si>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</si>
  <si>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</si>
  <si>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</si>
  <si>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</si>
  <si>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</si>
  <si>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</si>
  <si>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</si>
  <si>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</si>
  <si>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</si>
  <si>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</si>
  <si>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</si>
  <si>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</si>
  <si>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</si>
  <si>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</si>
  <si>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</si>
  <si>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</si>
  <si>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</si>
  <si>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</si>
  <si>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</si>
  <si>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</si>
  <si>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</si>
  <si>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</si>
  <si>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</si>
  <si>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</si>
  <si>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</si>
  <si>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</si>
  <si>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</si>
  <si>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</si>
  <si>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</si>
  <si>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</si>
  <si>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</si>
  <si>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</si>
  <si>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</si>
  <si>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</si>
  <si>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</si>
  <si>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</si>
  <si>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</si>
  <si>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</si>
  <si>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</si>
  <si>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</si>
  <si>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</si>
  <si>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</si>
  <si>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</si>
  <si>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</si>
  <si>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</si>
  <si>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</si>
  <si>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</si>
  <si>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</si>
  <si>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</si>
  <si>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</si>
  <si>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</si>
  <si>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</si>
  <si>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</si>
  <si>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</si>
  <si>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</si>
  <si>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</si>
  <si>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</si>
  <si>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</si>
  <si>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</si>
  <si>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</si>
  <si>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</si>
  <si>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</si>
  <si>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</si>
  <si>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</si>
  <si>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</si>
  <si>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</si>
  <si>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</si>
  <si>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</si>
  <si>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</si>
  <si>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</si>
  <si>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</si>
  <si>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</si>
  <si>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</si>
  <si>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</si>
  <si>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</si>
  <si>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</si>
  <si>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</si>
  <si>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</si>
  <si>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</si>
  <si>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</si>
  <si>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</si>
  <si>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</si>
  <si>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</si>
  <si>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</si>
  <si>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</si>
  <si>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</si>
  <si>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</si>
  <si>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</si>
  <si>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</si>
  <si>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</si>
  <si>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</si>
  <si>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</si>
  <si>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</si>
  <si>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</si>
  <si>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</si>
  <si>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</si>
  <si>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</si>
  <si>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</si>
  <si>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</si>
  <si>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</si>
  <si>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</si>
  <si>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</si>
  <si>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</si>
  <si>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</si>
  <si>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</si>
  <si>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</si>
  <si>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</si>
  <si>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</si>
  <si>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</si>
  <si>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</si>
  <si>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</si>
  <si>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</si>
  <si>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</si>
  <si>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</si>
  <si>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</si>
  <si>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</si>
  <si>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</si>
  <si>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</si>
  <si>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</si>
  <si>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</si>
  <si>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</si>
  <si>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</si>
  <si>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</si>
  <si>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</si>
  <si>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</si>
  <si>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</si>
  <si>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</si>
  <si>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</si>
  <si>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</si>
  <si>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</si>
  <si>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</si>
  <si>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</si>
  <si>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</si>
  <si>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</si>
  <si>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</si>
  <si>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</si>
  <si>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</si>
  <si>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</si>
  <si>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</si>
  <si>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</si>
  <si>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</si>
  <si>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</si>
  <si>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</si>
  <si>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WARREN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</si>
</sst>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0" fontId="0" fillId="5" borderId="0" xfId="0" applyNumberFormat="1" applyFill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opLeftCell="A636" zoomScale="75" zoomScaleNormal="75" workbookViewId="0">
      <selection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549</v>
      </c>
      <c r="C2" s="21">
        <v>549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32391.94+100</f>
        <v>32491.94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87094.819999999992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11601.78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8827.37</f>
        <v>8827.3700000000008</v>
      </c>
      <c r="G13" s="18">
        <v>4540.82</v>
      </c>
      <c r="H13" s="18">
        <v>23536.02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4013.37+1058.35</f>
        <v>5071.7199999999993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57992.810000000005</v>
      </c>
      <c r="G19" s="41">
        <f>SUM(G9:G18)</f>
        <v>4540.82</v>
      </c>
      <c r="H19" s="41">
        <f>SUM(H9:H18)</f>
        <v>23536.02</v>
      </c>
      <c r="I19" s="41">
        <f>SUM(I9:I18)</f>
        <v>0</v>
      </c>
      <c r="J19" s="41">
        <f>SUM(J9:J18)</f>
        <v>87094.819999999992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4145.5200000000004</v>
      </c>
      <c r="H22" s="18">
        <v>7456.26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13784.57</v>
      </c>
      <c r="G24" s="18">
        <v>395.3</v>
      </c>
      <c r="H24" s="18">
        <v>1197.8599999999999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945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72.29+101.78+1.98</f>
        <v>176.04999999999998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14881.9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14905.619999999999</v>
      </c>
      <c r="G32" s="41">
        <f>SUM(G22:G31)</f>
        <v>4540.8200000000006</v>
      </c>
      <c r="H32" s="41">
        <f>SUM(H22:H31)</f>
        <v>23536.02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87094.819999999992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22489.46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144824.46-125285.08+1058.35</f>
        <v>20597.729999999989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43087.189999999988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87094.819999999992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57992.809999999983</v>
      </c>
      <c r="G51" s="41">
        <f>G50+G32</f>
        <v>4540.8200000000006</v>
      </c>
      <c r="H51" s="41">
        <f>H50+H32</f>
        <v>23536.02</v>
      </c>
      <c r="I51" s="41">
        <f>I50+I32</f>
        <v>0</v>
      </c>
      <c r="J51" s="41">
        <f>J50+J32</f>
        <v>87094.819999999992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662455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662455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8405.5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8405.5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157.97</v>
      </c>
      <c r="G95" s="18"/>
      <c r="H95" s="18"/>
      <c r="I95" s="18"/>
      <c r="J95" s="18">
        <v>58.84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10534.71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11583.93+7483.7</f>
        <v>19067.63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115.98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1937.12+1058.35</f>
        <v>2995.47</v>
      </c>
      <c r="G109" s="18">
        <v>1151.5999999999999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3269.4199999999996</v>
      </c>
      <c r="G110" s="41">
        <f>SUM(G95:G109)</f>
        <v>11686.31</v>
      </c>
      <c r="H110" s="41">
        <f>SUM(H95:H109)</f>
        <v>19067.63</v>
      </c>
      <c r="I110" s="41">
        <f>SUM(I95:I109)</f>
        <v>0</v>
      </c>
      <c r="J110" s="41">
        <f>SUM(J95:J109)</f>
        <v>58.84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674129.92000000004</v>
      </c>
      <c r="G111" s="41">
        <f>G59+G110</f>
        <v>11686.31</v>
      </c>
      <c r="H111" s="41">
        <f>H59+H78+H93+H110</f>
        <v>19067.63</v>
      </c>
      <c r="I111" s="41">
        <f>I59+I110</f>
        <v>0</v>
      </c>
      <c r="J111" s="41">
        <f>J59+J110</f>
        <v>58.84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844870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187506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1032376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29849.82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2290.5300000000002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361.85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32140.35</v>
      </c>
      <c r="G135" s="41">
        <f>SUM(G122:G134)</f>
        <v>361.85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1064516.3500000001</v>
      </c>
      <c r="G139" s="41">
        <f>G120+SUM(G135:G136)</f>
        <v>361.85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6240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1384.19+47557.76</f>
        <v>48941.950000000004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8649.14+106712.15+1710.3</f>
        <v>117071.59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3021.81+17275.49</f>
        <v>20297.300000000003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19469.37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19469.37</v>
      </c>
      <c r="G161" s="41">
        <f>SUM(G149:G160)</f>
        <v>20297.300000000003</v>
      </c>
      <c r="H161" s="41">
        <f>SUM(H149:H160)</f>
        <v>172253.54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10846.77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30316.14</v>
      </c>
      <c r="G168" s="41">
        <f>G146+G161+SUM(G162:G167)</f>
        <v>20297.300000000003</v>
      </c>
      <c r="H168" s="41">
        <f>H146+H161+SUM(H162:H167)</f>
        <v>172253.54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15377.87</v>
      </c>
      <c r="H178" s="18"/>
      <c r="I178" s="18"/>
      <c r="J178" s="18">
        <v>20000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15377.87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15377.87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1768962.41</v>
      </c>
      <c r="G192" s="47">
        <f>G111+G139+G168+G191</f>
        <v>47723.33</v>
      </c>
      <c r="H192" s="47">
        <f>H111+H139+H168+H191</f>
        <v>191321.17</v>
      </c>
      <c r="I192" s="47">
        <f>I111+I139+I168+I191</f>
        <v>0</v>
      </c>
      <c r="J192" s="47">
        <f>J111+J139+J191</f>
        <v>20058.84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323567.03999999998</v>
      </c>
      <c r="G196" s="18">
        <v>150733.21</v>
      </c>
      <c r="H196" s="18">
        <f>41680.58+169.5</f>
        <v>41850.080000000002</v>
      </c>
      <c r="I196" s="18">
        <v>14233.55</v>
      </c>
      <c r="J196" s="18">
        <v>3934.64</v>
      </c>
      <c r="K196" s="18">
        <v>803.25</v>
      </c>
      <c r="L196" s="19">
        <f>SUM(F196:K196)</f>
        <v>535121.77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44344.31</v>
      </c>
      <c r="G197" s="18">
        <v>13040.98</v>
      </c>
      <c r="H197" s="18">
        <v>3000</v>
      </c>
      <c r="I197" s="18">
        <v>864.05</v>
      </c>
      <c r="J197" s="18">
        <v>0</v>
      </c>
      <c r="K197" s="18">
        <v>0</v>
      </c>
      <c r="L197" s="19">
        <f>SUM(F197:K197)</f>
        <v>61249.34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5874.04</v>
      </c>
      <c r="G199" s="18">
        <v>1098.3399999999999</v>
      </c>
      <c r="H199" s="18">
        <f>650+577</f>
        <v>1227</v>
      </c>
      <c r="I199" s="18">
        <v>1663.99</v>
      </c>
      <c r="J199" s="18">
        <v>0</v>
      </c>
      <c r="K199" s="18">
        <v>180</v>
      </c>
      <c r="L199" s="19">
        <f>SUM(F199:K199)</f>
        <v>10043.370000000001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39252</v>
      </c>
      <c r="G201" s="18">
        <v>24642.58</v>
      </c>
      <c r="H201" s="18">
        <f>37949.42+1083.75</f>
        <v>39033.17</v>
      </c>
      <c r="I201" s="18">
        <v>1824.78</v>
      </c>
      <c r="J201" s="18">
        <v>0</v>
      </c>
      <c r="K201" s="18">
        <v>2982.46</v>
      </c>
      <c r="L201" s="19">
        <f t="shared" ref="L201:L207" si="0">SUM(F201:K201)</f>
        <v>107734.99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4652.75</v>
      </c>
      <c r="G202" s="18">
        <v>12497.49</v>
      </c>
      <c r="H202" s="18">
        <f>28058.81+1195.74</f>
        <v>29254.550000000003</v>
      </c>
      <c r="I202" s="18">
        <v>1673.6</v>
      </c>
      <c r="J202" s="18">
        <v>0</v>
      </c>
      <c r="K202" s="18">
        <v>0</v>
      </c>
      <c r="L202" s="19">
        <f t="shared" si="0"/>
        <v>48078.39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1212</v>
      </c>
      <c r="G203" s="18">
        <v>107.57</v>
      </c>
      <c r="H203" s="18">
        <f>48971.9+2252.58</f>
        <v>51224.480000000003</v>
      </c>
      <c r="I203" s="18">
        <v>245.62</v>
      </c>
      <c r="J203" s="18">
        <v>0</v>
      </c>
      <c r="K203" s="18">
        <v>1287.81</v>
      </c>
      <c r="L203" s="19">
        <f t="shared" si="0"/>
        <v>54077.48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88868.02</v>
      </c>
      <c r="G204" s="18">
        <v>27740.85</v>
      </c>
      <c r="H204" s="18">
        <v>3124.56</v>
      </c>
      <c r="I204" s="18">
        <v>1709.81</v>
      </c>
      <c r="J204" s="18">
        <v>188.99</v>
      </c>
      <c r="K204" s="18">
        <v>461</v>
      </c>
      <c r="L204" s="19">
        <f t="shared" si="0"/>
        <v>122093.23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23758.3</v>
      </c>
      <c r="G206" s="18">
        <v>10166.299999999999</v>
      </c>
      <c r="H206" s="18">
        <f>33374.33+1392.04</f>
        <v>34766.370000000003</v>
      </c>
      <c r="I206" s="18">
        <v>35916.54</v>
      </c>
      <c r="J206" s="18">
        <v>5156.6499999999996</v>
      </c>
      <c r="K206" s="18">
        <v>0</v>
      </c>
      <c r="L206" s="19">
        <f t="shared" si="0"/>
        <v>109764.16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77300.75</v>
      </c>
      <c r="I207" s="18">
        <v>0</v>
      </c>
      <c r="J207" s="18">
        <v>0</v>
      </c>
      <c r="K207" s="18">
        <v>0</v>
      </c>
      <c r="L207" s="19">
        <f t="shared" si="0"/>
        <v>77300.75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f>674+583.34+2480.5</f>
        <v>3737.84</v>
      </c>
      <c r="I208" s="18">
        <v>514.74</v>
      </c>
      <c r="J208" s="18">
        <v>0</v>
      </c>
      <c r="K208" s="18">
        <v>0</v>
      </c>
      <c r="L208" s="19">
        <f>SUM(F208:K208)</f>
        <v>4252.58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531528.46</v>
      </c>
      <c r="G210" s="41">
        <f t="shared" si="1"/>
        <v>240027.31999999998</v>
      </c>
      <c r="H210" s="41">
        <f t="shared" si="1"/>
        <v>284518.8</v>
      </c>
      <c r="I210" s="41">
        <f t="shared" si="1"/>
        <v>58646.68</v>
      </c>
      <c r="J210" s="41">
        <f t="shared" si="1"/>
        <v>9280.2799999999988</v>
      </c>
      <c r="K210" s="41">
        <f t="shared" si="1"/>
        <v>5714.52</v>
      </c>
      <c r="L210" s="41">
        <f t="shared" si="1"/>
        <v>1129716.06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193085.02</v>
      </c>
      <c r="I214" s="18">
        <v>0</v>
      </c>
      <c r="J214" s="18">
        <v>0</v>
      </c>
      <c r="K214" s="18">
        <v>0</v>
      </c>
      <c r="L214" s="19">
        <f>SUM(F214:K214)</f>
        <v>193085.02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f>75+26627.41</f>
        <v>26702.41</v>
      </c>
      <c r="I215" s="18">
        <v>0</v>
      </c>
      <c r="J215" s="18">
        <v>0</v>
      </c>
      <c r="K215" s="18">
        <v>0</v>
      </c>
      <c r="L215" s="19">
        <f>SUM(F215:K215)</f>
        <v>26702.41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345</v>
      </c>
      <c r="G221" s="18">
        <v>30.67</v>
      </c>
      <c r="H221" s="18">
        <f>13974.4+643.59</f>
        <v>14617.99</v>
      </c>
      <c r="I221" s="18">
        <v>38.64</v>
      </c>
      <c r="J221" s="18">
        <v>0</v>
      </c>
      <c r="K221" s="18">
        <v>367.94</v>
      </c>
      <c r="L221" s="19">
        <f t="shared" si="2"/>
        <v>15400.24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11543.89</v>
      </c>
      <c r="I225" s="18">
        <v>0</v>
      </c>
      <c r="J225" s="18">
        <v>0</v>
      </c>
      <c r="K225" s="18">
        <v>0</v>
      </c>
      <c r="L225" s="19">
        <f t="shared" si="2"/>
        <v>11543.89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345</v>
      </c>
      <c r="G228" s="41">
        <f>SUM(G214:G227)</f>
        <v>30.67</v>
      </c>
      <c r="H228" s="41">
        <f>SUM(H214:H227)</f>
        <v>245949.31</v>
      </c>
      <c r="I228" s="41">
        <f>SUM(I214:I227)</f>
        <v>38.64</v>
      </c>
      <c r="J228" s="41">
        <f>SUM(J214:J227)</f>
        <v>0</v>
      </c>
      <c r="K228" s="41">
        <f t="shared" si="3"/>
        <v>367.94</v>
      </c>
      <c r="L228" s="41">
        <f t="shared" si="3"/>
        <v>246731.56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276700.07</v>
      </c>
      <c r="I232" s="18">
        <v>0</v>
      </c>
      <c r="J232" s="18">
        <v>0</v>
      </c>
      <c r="K232" s="18">
        <v>0</v>
      </c>
      <c r="L232" s="19">
        <f>SUM(F232:K232)</f>
        <v>276700.07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f>540+126484.14</f>
        <v>127024.14</v>
      </c>
      <c r="I233" s="18">
        <v>0</v>
      </c>
      <c r="J233" s="18">
        <v>0</v>
      </c>
      <c r="K233" s="18">
        <v>0</v>
      </c>
      <c r="L233" s="19">
        <f>SUM(F233:K233)</f>
        <v>127024.14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48888</v>
      </c>
      <c r="I234" s="18">
        <v>0</v>
      </c>
      <c r="J234" s="18">
        <v>0</v>
      </c>
      <c r="K234" s="18">
        <v>0</v>
      </c>
      <c r="L234" s="19">
        <f>SUM(F234:K234)</f>
        <v>48888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7839.75</v>
      </c>
      <c r="I237" s="18">
        <v>0</v>
      </c>
      <c r="J237" s="18">
        <v>0</v>
      </c>
      <c r="K237" s="18">
        <v>0</v>
      </c>
      <c r="L237" s="19">
        <f t="shared" ref="L237:L243" si="4">SUM(F237:K237)</f>
        <v>7839.75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618</v>
      </c>
      <c r="G239" s="18">
        <v>54.56</v>
      </c>
      <c r="H239" s="18">
        <f>24455.2+1126.28</f>
        <v>25581.48</v>
      </c>
      <c r="I239" s="18">
        <v>67.63</v>
      </c>
      <c r="J239" s="18">
        <v>0</v>
      </c>
      <c r="K239" s="18">
        <v>643.9</v>
      </c>
      <c r="L239" s="19">
        <f t="shared" si="4"/>
        <v>26965.570000000003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25925.13</v>
      </c>
      <c r="I243" s="18">
        <v>0</v>
      </c>
      <c r="J243" s="18">
        <v>0</v>
      </c>
      <c r="K243" s="18">
        <v>0</v>
      </c>
      <c r="L243" s="19">
        <f t="shared" si="4"/>
        <v>25925.13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618</v>
      </c>
      <c r="G246" s="41">
        <f t="shared" si="5"/>
        <v>54.56</v>
      </c>
      <c r="H246" s="41">
        <f t="shared" si="5"/>
        <v>511958.57</v>
      </c>
      <c r="I246" s="41">
        <f t="shared" si="5"/>
        <v>67.63</v>
      </c>
      <c r="J246" s="41">
        <f t="shared" si="5"/>
        <v>0</v>
      </c>
      <c r="K246" s="41">
        <f t="shared" si="5"/>
        <v>643.9</v>
      </c>
      <c r="L246" s="41">
        <f t="shared" si="5"/>
        <v>513342.66000000003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532491.46</v>
      </c>
      <c r="G256" s="41">
        <f t="shared" si="8"/>
        <v>240112.55</v>
      </c>
      <c r="H256" s="41">
        <f t="shared" si="8"/>
        <v>1042426.6799999999</v>
      </c>
      <c r="I256" s="41">
        <f t="shared" si="8"/>
        <v>58752.95</v>
      </c>
      <c r="J256" s="41">
        <f t="shared" si="8"/>
        <v>9280.2799999999988</v>
      </c>
      <c r="K256" s="41">
        <f t="shared" si="8"/>
        <v>6726.36</v>
      </c>
      <c r="L256" s="41">
        <f t="shared" si="8"/>
        <v>1889790.2800000003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15377.87</v>
      </c>
      <c r="L262" s="19">
        <f>SUM(F262:K262)</f>
        <v>15377.87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35377.870000000003</v>
      </c>
      <c r="L269" s="41">
        <f t="shared" si="9"/>
        <v>35377.870000000003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532491.46</v>
      </c>
      <c r="G270" s="42">
        <f t="shared" si="11"/>
        <v>240112.55</v>
      </c>
      <c r="H270" s="42">
        <f t="shared" si="11"/>
        <v>1042426.6799999999</v>
      </c>
      <c r="I270" s="42">
        <f t="shared" si="11"/>
        <v>58752.95</v>
      </c>
      <c r="J270" s="42">
        <f t="shared" si="11"/>
        <v>9280.2799999999988</v>
      </c>
      <c r="K270" s="42">
        <f t="shared" si="11"/>
        <v>42104.23</v>
      </c>
      <c r="L270" s="42">
        <f t="shared" si="11"/>
        <v>1925168.1500000004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46981.01</v>
      </c>
      <c r="G276" s="18">
        <v>16053.36</v>
      </c>
      <c r="H276" s="18">
        <f>60+700</f>
        <v>760</v>
      </c>
      <c r="I276" s="18">
        <v>6013.06</v>
      </c>
      <c r="J276" s="18"/>
      <c r="K276" s="18"/>
      <c r="L276" s="19">
        <f>SUM(F276:K276)</f>
        <v>69807.430000000008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27711.25</v>
      </c>
      <c r="G278" s="18">
        <v>2824.54</v>
      </c>
      <c r="H278" s="18">
        <f>231.96+392</f>
        <v>623.96</v>
      </c>
      <c r="I278" s="18">
        <v>5558.98</v>
      </c>
      <c r="J278" s="18"/>
      <c r="K278" s="18">
        <v>2434.54</v>
      </c>
      <c r="L278" s="19">
        <f>SUM(F278:K278)</f>
        <v>39153.269999999997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30</v>
      </c>
      <c r="G280" s="18">
        <v>2.2999999999999998</v>
      </c>
      <c r="H280" s="18">
        <v>4253.45</v>
      </c>
      <c r="I280" s="18"/>
      <c r="J280" s="18"/>
      <c r="K280" s="18"/>
      <c r="L280" s="19">
        <f t="shared" ref="L280:L286" si="12">SUM(F280:K280)</f>
        <v>4285.75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530+499.86</f>
        <v>1029.8600000000001</v>
      </c>
      <c r="I281" s="18"/>
      <c r="J281" s="18"/>
      <c r="K281" s="18"/>
      <c r="L281" s="19">
        <f t="shared" si="12"/>
        <v>1029.8600000000001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1086.49</v>
      </c>
      <c r="L282" s="19">
        <f t="shared" si="12"/>
        <v>1086.49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36263.5</v>
      </c>
      <c r="G283" s="18">
        <v>3849.08</v>
      </c>
      <c r="H283" s="18"/>
      <c r="I283" s="18">
        <v>7011.67</v>
      </c>
      <c r="J283" s="18"/>
      <c r="K283" s="18"/>
      <c r="L283" s="19">
        <f t="shared" si="12"/>
        <v>47124.25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22834.12</v>
      </c>
      <c r="I286" s="18"/>
      <c r="J286" s="18"/>
      <c r="K286" s="18"/>
      <c r="L286" s="19">
        <f t="shared" si="12"/>
        <v>22834.12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110985.76000000001</v>
      </c>
      <c r="G289" s="42">
        <f t="shared" si="13"/>
        <v>22729.279999999999</v>
      </c>
      <c r="H289" s="42">
        <f t="shared" si="13"/>
        <v>29501.39</v>
      </c>
      <c r="I289" s="42">
        <f t="shared" si="13"/>
        <v>18583.71</v>
      </c>
      <c r="J289" s="42">
        <f t="shared" si="13"/>
        <v>0</v>
      </c>
      <c r="K289" s="42">
        <f t="shared" si="13"/>
        <v>3521.0299999999997</v>
      </c>
      <c r="L289" s="41">
        <f t="shared" si="13"/>
        <v>185321.17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6000</v>
      </c>
      <c r="I305" s="18"/>
      <c r="J305" s="18"/>
      <c r="K305" s="18"/>
      <c r="L305" s="19">
        <f t="shared" si="14"/>
        <v>6000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6000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6000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110985.76000000001</v>
      </c>
      <c r="G337" s="41">
        <f t="shared" si="20"/>
        <v>22729.279999999999</v>
      </c>
      <c r="H337" s="41">
        <f t="shared" si="20"/>
        <v>35501.39</v>
      </c>
      <c r="I337" s="41">
        <f t="shared" si="20"/>
        <v>18583.71</v>
      </c>
      <c r="J337" s="41">
        <f t="shared" si="20"/>
        <v>0</v>
      </c>
      <c r="K337" s="41">
        <f t="shared" si="20"/>
        <v>3521.0299999999997</v>
      </c>
      <c r="L337" s="41">
        <f t="shared" si="20"/>
        <v>191321.17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110985.76000000001</v>
      </c>
      <c r="G351" s="41">
        <f>G337</f>
        <v>22729.279999999999</v>
      </c>
      <c r="H351" s="41">
        <f>H337</f>
        <v>35501.39</v>
      </c>
      <c r="I351" s="41">
        <f>I337</f>
        <v>18583.71</v>
      </c>
      <c r="J351" s="41">
        <f>J337</f>
        <v>0</v>
      </c>
      <c r="K351" s="47">
        <f>K337+K350</f>
        <v>3521.0299999999997</v>
      </c>
      <c r="L351" s="41">
        <f>L337+L350</f>
        <v>191321.17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21978.55</v>
      </c>
      <c r="G357" s="18">
        <v>1905.61</v>
      </c>
      <c r="H357" s="18">
        <f>440.33+188.13</f>
        <v>628.46</v>
      </c>
      <c r="I357" s="18">
        <v>22210.71</v>
      </c>
      <c r="J357" s="18">
        <v>1000</v>
      </c>
      <c r="K357" s="18"/>
      <c r="L357" s="13">
        <f>SUM(F357:K357)</f>
        <v>47723.33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21978.55</v>
      </c>
      <c r="G361" s="47">
        <f t="shared" si="22"/>
        <v>1905.61</v>
      </c>
      <c r="H361" s="47">
        <f t="shared" si="22"/>
        <v>628.46</v>
      </c>
      <c r="I361" s="47">
        <f t="shared" si="22"/>
        <v>22210.71</v>
      </c>
      <c r="J361" s="47">
        <f t="shared" si="22"/>
        <v>1000</v>
      </c>
      <c r="K361" s="47">
        <f t="shared" si="22"/>
        <v>0</v>
      </c>
      <c r="L361" s="47">
        <f t="shared" si="22"/>
        <v>47723.33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17112.92+2881.42</f>
        <v>19994.339999999997</v>
      </c>
      <c r="G366" s="18"/>
      <c r="H366" s="18"/>
      <c r="I366" s="56">
        <f>SUM(F366:H366)</f>
        <v>19994.339999999997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2075.98+140.39</f>
        <v>2216.37</v>
      </c>
      <c r="G367" s="63"/>
      <c r="H367" s="63"/>
      <c r="I367" s="56">
        <f>SUM(F367:H367)</f>
        <v>2216.37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22210.709999999995</v>
      </c>
      <c r="G368" s="47">
        <f>SUM(G366:G367)</f>
        <v>0</v>
      </c>
      <c r="H368" s="47">
        <f>SUM(H366:H367)</f>
        <v>0</v>
      </c>
      <c r="I368" s="47">
        <f>SUM(I366:I367)</f>
        <v>22210.709999999995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2.29</v>
      </c>
      <c r="I387" s="18"/>
      <c r="J387" s="24" t="s">
        <v>289</v>
      </c>
      <c r="K387" s="24" t="s">
        <v>289</v>
      </c>
      <c r="L387" s="56">
        <f t="shared" si="25"/>
        <v>2.29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2.29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2.29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</v>
      </c>
      <c r="H395" s="18">
        <v>24.01</v>
      </c>
      <c r="I395" s="18"/>
      <c r="J395" s="24" t="s">
        <v>289</v>
      </c>
      <c r="K395" s="24" t="s">
        <v>289</v>
      </c>
      <c r="L395" s="56">
        <f t="shared" si="26"/>
        <v>5024.01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10000</v>
      </c>
      <c r="H396" s="18">
        <v>29.89</v>
      </c>
      <c r="I396" s="18"/>
      <c r="J396" s="24" t="s">
        <v>289</v>
      </c>
      <c r="K396" s="24" t="s">
        <v>289</v>
      </c>
      <c r="L396" s="56">
        <f t="shared" si="26"/>
        <v>10029.89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5000</v>
      </c>
      <c r="H398" s="18">
        <v>2.65</v>
      </c>
      <c r="I398" s="18"/>
      <c r="J398" s="24" t="s">
        <v>289</v>
      </c>
      <c r="K398" s="24" t="s">
        <v>289</v>
      </c>
      <c r="L398" s="56">
        <f t="shared" si="26"/>
        <v>5002.6499999999996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56.550000000000004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20056.55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58.84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20058.84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3069.78</v>
      </c>
      <c r="G439" s="18">
        <f>84025.04</f>
        <v>84025.04</v>
      </c>
      <c r="H439" s="18"/>
      <c r="I439" s="56">
        <f t="shared" si="33"/>
        <v>87094.819999999992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3069.78</v>
      </c>
      <c r="G445" s="13">
        <f>SUM(G438:G444)</f>
        <v>84025.04</v>
      </c>
      <c r="H445" s="13">
        <f>SUM(H438:H444)</f>
        <v>0</v>
      </c>
      <c r="I445" s="13">
        <f>SUM(I438:I444)</f>
        <v>87094.819999999992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3069.78</v>
      </c>
      <c r="G458" s="18">
        <v>84025.04</v>
      </c>
      <c r="H458" s="18"/>
      <c r="I458" s="56">
        <f t="shared" si="34"/>
        <v>87094.819999999992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3069.78</v>
      </c>
      <c r="G459" s="83">
        <f>SUM(G453:G458)</f>
        <v>84025.04</v>
      </c>
      <c r="H459" s="83">
        <f>SUM(H453:H458)</f>
        <v>0</v>
      </c>
      <c r="I459" s="83">
        <f>SUM(I453:I458)</f>
        <v>87094.819999999992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3069.78</v>
      </c>
      <c r="G460" s="42">
        <f>G451+G459</f>
        <v>84025.04</v>
      </c>
      <c r="H460" s="42">
        <f>H451+H459</f>
        <v>0</v>
      </c>
      <c r="I460" s="42">
        <f>I451+I459</f>
        <v>87094.819999999992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199292.92999999993</v>
      </c>
      <c r="G464" s="18">
        <v>0</v>
      </c>
      <c r="H464" s="18">
        <v>0</v>
      </c>
      <c r="I464" s="18">
        <v>0</v>
      </c>
      <c r="J464" s="18">
        <v>67035.98000000001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1767904.06+1058.35</f>
        <v>1768962.4100000001</v>
      </c>
      <c r="G467" s="18">
        <v>47723.33</v>
      </c>
      <c r="H467" s="18">
        <v>191321.17</v>
      </c>
      <c r="I467" s="18"/>
      <c r="J467" s="18">
        <v>20058.84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1768962.4100000001</v>
      </c>
      <c r="G469" s="53">
        <f>SUM(G467:G468)</f>
        <v>47723.33</v>
      </c>
      <c r="H469" s="53">
        <f>SUM(H467:H468)</f>
        <v>191321.17</v>
      </c>
      <c r="I469" s="53">
        <f>SUM(I467:I468)</f>
        <v>0</v>
      </c>
      <c r="J469" s="53">
        <f>SUM(J467:J468)</f>
        <v>20058.84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1925168.15</v>
      </c>
      <c r="G471" s="18">
        <f>44701.52+3021.81</f>
        <v>47723.329999999994</v>
      </c>
      <c r="H471" s="18">
        <v>191321.17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1925168.15</v>
      </c>
      <c r="G473" s="53">
        <f>SUM(G471:G472)</f>
        <v>47723.329999999994</v>
      </c>
      <c r="H473" s="53">
        <f>SUM(H471:H472)</f>
        <v>191321.17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43087.190000000177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87094.82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44344.31</v>
      </c>
      <c r="G520" s="18">
        <v>13040.98</v>
      </c>
      <c r="H520" s="18">
        <v>3000</v>
      </c>
      <c r="I520" s="18">
        <v>724.85</v>
      </c>
      <c r="J520" s="18"/>
      <c r="K520" s="18"/>
      <c r="L520" s="88">
        <f>SUM(F520:K520)</f>
        <v>61110.139999999992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75+26627.41</f>
        <v>26702.41</v>
      </c>
      <c r="I521" s="18"/>
      <c r="J521" s="18"/>
      <c r="K521" s="18"/>
      <c r="L521" s="88">
        <f>SUM(F521:K521)</f>
        <v>26702.41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540+126484.14</f>
        <v>127024.14</v>
      </c>
      <c r="I522" s="18"/>
      <c r="J522" s="18"/>
      <c r="K522" s="18"/>
      <c r="L522" s="88">
        <f>SUM(F522:K522)</f>
        <v>127024.14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44344.31</v>
      </c>
      <c r="G523" s="108">
        <f t="shared" ref="G523:L523" si="36">SUM(G520:G522)</f>
        <v>13040.98</v>
      </c>
      <c r="H523" s="108">
        <f t="shared" si="36"/>
        <v>156726.54999999999</v>
      </c>
      <c r="I523" s="108">
        <f t="shared" si="36"/>
        <v>724.85</v>
      </c>
      <c r="J523" s="108">
        <f t="shared" si="36"/>
        <v>0</v>
      </c>
      <c r="K523" s="108">
        <f t="shared" si="36"/>
        <v>0</v>
      </c>
      <c r="L523" s="89">
        <f t="shared" si="36"/>
        <v>214836.69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26268.95</v>
      </c>
      <c r="I525" s="18">
        <v>242.7</v>
      </c>
      <c r="J525" s="18"/>
      <c r="K525" s="18"/>
      <c r="L525" s="88">
        <f>SUM(F525:K525)</f>
        <v>26511.65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7839.75</v>
      </c>
      <c r="I527" s="18"/>
      <c r="J527" s="18"/>
      <c r="K527" s="18"/>
      <c r="L527" s="88">
        <f>SUM(F527:K527)</f>
        <v>7839.75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34108.699999999997</v>
      </c>
      <c r="I528" s="89">
        <f t="shared" si="37"/>
        <v>242.7</v>
      </c>
      <c r="J528" s="89">
        <f t="shared" si="37"/>
        <v>0</v>
      </c>
      <c r="K528" s="89">
        <f t="shared" si="37"/>
        <v>0</v>
      </c>
      <c r="L528" s="89">
        <f t="shared" si="37"/>
        <v>34351.4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8673</v>
      </c>
      <c r="I530" s="18"/>
      <c r="J530" s="18"/>
      <c r="K530" s="18"/>
      <c r="L530" s="88">
        <f>SUM(F530:K530)</f>
        <v>8673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3002</v>
      </c>
      <c r="I531" s="18"/>
      <c r="J531" s="18"/>
      <c r="K531" s="18"/>
      <c r="L531" s="88">
        <f>SUM(F531:K531)</f>
        <v>3002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5003</v>
      </c>
      <c r="I532" s="18"/>
      <c r="J532" s="18"/>
      <c r="K532" s="18"/>
      <c r="L532" s="88">
        <f>SUM(F532:K532)</f>
        <v>5003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16678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16678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3952.43</v>
      </c>
      <c r="I542" s="18"/>
      <c r="J542" s="18"/>
      <c r="K542" s="18"/>
      <c r="L542" s="88">
        <f>SUM(F542:K542)</f>
        <v>3952.43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3952.43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3952.43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44344.31</v>
      </c>
      <c r="G544" s="89">
        <f t="shared" ref="G544:L544" si="41">G523+G528+G533+G538+G543</f>
        <v>13040.98</v>
      </c>
      <c r="H544" s="89">
        <f t="shared" si="41"/>
        <v>211465.68</v>
      </c>
      <c r="I544" s="89">
        <f t="shared" si="41"/>
        <v>967.55</v>
      </c>
      <c r="J544" s="89">
        <f t="shared" si="41"/>
        <v>0</v>
      </c>
      <c r="K544" s="89">
        <f t="shared" si="41"/>
        <v>0</v>
      </c>
      <c r="L544" s="89">
        <f t="shared" si="41"/>
        <v>269818.51999999996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61110.139999999992</v>
      </c>
      <c r="G548" s="87">
        <f>L525</f>
        <v>26511.65</v>
      </c>
      <c r="H548" s="87">
        <f>L530</f>
        <v>8673</v>
      </c>
      <c r="I548" s="87">
        <f>L535</f>
        <v>0</v>
      </c>
      <c r="J548" s="87">
        <f>L540</f>
        <v>0</v>
      </c>
      <c r="K548" s="87">
        <f>SUM(F548:J548)</f>
        <v>96294.79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26702.41</v>
      </c>
      <c r="G549" s="87">
        <f>L526</f>
        <v>0</v>
      </c>
      <c r="H549" s="87">
        <f>L531</f>
        <v>3002</v>
      </c>
      <c r="I549" s="87">
        <f>L536</f>
        <v>0</v>
      </c>
      <c r="J549" s="87">
        <f>L541</f>
        <v>0</v>
      </c>
      <c r="K549" s="87">
        <f>SUM(F549:J549)</f>
        <v>29704.41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127024.14</v>
      </c>
      <c r="G550" s="87">
        <f>L527</f>
        <v>7839.75</v>
      </c>
      <c r="H550" s="87">
        <f>L532</f>
        <v>5003</v>
      </c>
      <c r="I550" s="87">
        <f>L537</f>
        <v>0</v>
      </c>
      <c r="J550" s="87">
        <f>L542</f>
        <v>3952.43</v>
      </c>
      <c r="K550" s="87">
        <f>SUM(F550:J550)</f>
        <v>143819.32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214836.69</v>
      </c>
      <c r="G551" s="89">
        <f t="shared" si="42"/>
        <v>34351.4</v>
      </c>
      <c r="H551" s="89">
        <f t="shared" si="42"/>
        <v>16678</v>
      </c>
      <c r="I551" s="89">
        <f t="shared" si="42"/>
        <v>0</v>
      </c>
      <c r="J551" s="89">
        <f t="shared" si="42"/>
        <v>3952.43</v>
      </c>
      <c r="K551" s="89">
        <f t="shared" si="42"/>
        <v>269818.52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35105</v>
      </c>
      <c r="G556" s="18">
        <v>13325.55</v>
      </c>
      <c r="H556" s="18"/>
      <c r="I556" s="18">
        <v>299.32</v>
      </c>
      <c r="J556" s="18"/>
      <c r="K556" s="18"/>
      <c r="L556" s="88">
        <f>SUM(F556:K556)</f>
        <v>48729.87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35105</v>
      </c>
      <c r="G559" s="108">
        <f t="shared" si="43"/>
        <v>13325.55</v>
      </c>
      <c r="H559" s="108">
        <f t="shared" si="43"/>
        <v>0</v>
      </c>
      <c r="I559" s="108">
        <f t="shared" si="43"/>
        <v>299.32</v>
      </c>
      <c r="J559" s="108">
        <f t="shared" si="43"/>
        <v>0</v>
      </c>
      <c r="K559" s="108">
        <f t="shared" si="43"/>
        <v>0</v>
      </c>
      <c r="L559" s="89">
        <f t="shared" si="43"/>
        <v>48729.87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35105</v>
      </c>
      <c r="G570" s="89">
        <f t="shared" ref="G570:L570" si="46">G559+G564+G569</f>
        <v>13325.55</v>
      </c>
      <c r="H570" s="89">
        <f t="shared" si="46"/>
        <v>0</v>
      </c>
      <c r="I570" s="89">
        <f t="shared" si="46"/>
        <v>299.32</v>
      </c>
      <c r="J570" s="89">
        <f t="shared" si="46"/>
        <v>0</v>
      </c>
      <c r="K570" s="89">
        <f t="shared" si="46"/>
        <v>0</v>
      </c>
      <c r="L570" s="89">
        <f t="shared" si="46"/>
        <v>48729.87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193085.02</v>
      </c>
      <c r="H574" s="18">
        <v>276700.07</v>
      </c>
      <c r="I574" s="87">
        <f>SUM(F574:H574)</f>
        <v>469785.08999999997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48888</v>
      </c>
      <c r="I575" s="87">
        <f t="shared" ref="I575:I586" si="47">SUM(F575:H575)</f>
        <v>48888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3000</v>
      </c>
      <c r="G578" s="18">
        <v>90</v>
      </c>
      <c r="H578" s="18">
        <v>91349.58</v>
      </c>
      <c r="I578" s="87">
        <f t="shared" si="47"/>
        <v>94439.58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26537.41</v>
      </c>
      <c r="H581" s="18">
        <v>35134.559999999998</v>
      </c>
      <c r="I581" s="87">
        <f t="shared" si="47"/>
        <v>61671.97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72000</v>
      </c>
      <c r="I590" s="18">
        <v>9318.89</v>
      </c>
      <c r="J590" s="18">
        <v>16695.79</v>
      </c>
      <c r="K590" s="104">
        <f t="shared" ref="K590:K596" si="48">SUM(H590:J590)</f>
        <v>98014.68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3952.43</v>
      </c>
      <c r="K591" s="104">
        <f t="shared" si="48"/>
        <v>3952.43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3051.91</v>
      </c>
      <c r="K592" s="104">
        <f t="shared" si="48"/>
        <v>3051.91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5300.75</v>
      </c>
      <c r="I594" s="18"/>
      <c r="J594" s="18"/>
      <c r="K594" s="104">
        <f t="shared" si="48"/>
        <v>5300.75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>
        <v>2225</v>
      </c>
      <c r="J596" s="18">
        <v>2225</v>
      </c>
      <c r="K596" s="104">
        <f t="shared" si="48"/>
        <v>4450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77300.75</v>
      </c>
      <c r="I597" s="108">
        <f>SUM(I590:I596)</f>
        <v>11543.89</v>
      </c>
      <c r="J597" s="108">
        <f>SUM(J590:J596)</f>
        <v>25925.13</v>
      </c>
      <c r="K597" s="108">
        <f>SUM(K590:K596)</f>
        <v>114769.76999999999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3934.64+188.99+1532.33+3624.32</f>
        <v>9280.2800000000007</v>
      </c>
      <c r="I603" s="18"/>
      <c r="J603" s="18"/>
      <c r="K603" s="104">
        <f>SUM(H603:J603)</f>
        <v>9280.2800000000007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9280.2800000000007</v>
      </c>
      <c r="I604" s="108">
        <f>SUM(I601:I603)</f>
        <v>0</v>
      </c>
      <c r="J604" s="108">
        <f>SUM(J601:J603)</f>
        <v>0</v>
      </c>
      <c r="K604" s="108">
        <f>SUM(K601:K603)</f>
        <v>9280.2800000000007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11574.04</v>
      </c>
      <c r="G610" s="18">
        <v>1481.85</v>
      </c>
      <c r="H610" s="18"/>
      <c r="I610" s="18">
        <v>573.95000000000005</v>
      </c>
      <c r="J610" s="18"/>
      <c r="K610" s="18">
        <v>2254.54</v>
      </c>
      <c r="L610" s="88">
        <f>SUM(F610:K610)</f>
        <v>15884.380000000001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11574.04</v>
      </c>
      <c r="G613" s="108">
        <f t="shared" si="49"/>
        <v>1481.85</v>
      </c>
      <c r="H613" s="108">
        <f t="shared" si="49"/>
        <v>0</v>
      </c>
      <c r="I613" s="108">
        <f t="shared" si="49"/>
        <v>573.95000000000005</v>
      </c>
      <c r="J613" s="108">
        <f t="shared" si="49"/>
        <v>0</v>
      </c>
      <c r="K613" s="108">
        <f t="shared" si="49"/>
        <v>2254.54</v>
      </c>
      <c r="L613" s="89">
        <f t="shared" si="49"/>
        <v>15884.380000000001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57992.810000000005</v>
      </c>
      <c r="H616" s="109">
        <f>SUM(F51)</f>
        <v>57992.809999999983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4540.82</v>
      </c>
      <c r="H617" s="109">
        <f>SUM(G51)</f>
        <v>4540.8200000000006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23536.02</v>
      </c>
      <c r="H618" s="109">
        <f>SUM(H51)</f>
        <v>23536.02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87094.819999999992</v>
      </c>
      <c r="H620" s="109">
        <f>SUM(J51)</f>
        <v>87094.819999999992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43087.189999999988</v>
      </c>
      <c r="H621" s="109">
        <f>F475</f>
        <v>43087.190000000177</v>
      </c>
      <c r="I621" s="121" t="s">
        <v>101</v>
      </c>
      <c r="J621" s="109">
        <f t="shared" ref="J621:J654" si="50">G621-H621</f>
        <v>-1.8917489796876907E-10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87094.819999999992</v>
      </c>
      <c r="H625" s="109">
        <f>J475</f>
        <v>87094.82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1768962.41</v>
      </c>
      <c r="H626" s="104">
        <f>SUM(F467)</f>
        <v>1768962.4100000001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47723.33</v>
      </c>
      <c r="H627" s="104">
        <f>SUM(G467)</f>
        <v>47723.33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191321.17</v>
      </c>
      <c r="H628" s="104">
        <f>SUM(H467)</f>
        <v>191321.17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20058.84</v>
      </c>
      <c r="H630" s="104">
        <f>SUM(J467)</f>
        <v>20058.84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1925168.1500000004</v>
      </c>
      <c r="H631" s="104">
        <f>SUM(F471)</f>
        <v>1925168.15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191321.17</v>
      </c>
      <c r="H632" s="104">
        <f>SUM(H471)</f>
        <v>191321.17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22210.71</v>
      </c>
      <c r="H633" s="104">
        <f>I368</f>
        <v>22210.709999999995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47723.33</v>
      </c>
      <c r="H634" s="104">
        <f>SUM(G471)</f>
        <v>47723.329999999994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20058.84</v>
      </c>
      <c r="H636" s="164">
        <f>SUM(J467)</f>
        <v>20058.84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3069.78</v>
      </c>
      <c r="H638" s="104">
        <f>SUM(F460)</f>
        <v>3069.78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84025.04</v>
      </c>
      <c r="H639" s="104">
        <f>SUM(G460)</f>
        <v>84025.04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87094.819999999992</v>
      </c>
      <c r="H641" s="104">
        <f>SUM(I460)</f>
        <v>87094.819999999992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58.84</v>
      </c>
      <c r="H643" s="104">
        <f>H407</f>
        <v>58.84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20058.84</v>
      </c>
      <c r="H645" s="104">
        <f>L407</f>
        <v>20058.84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114769.76999999999</v>
      </c>
      <c r="H646" s="104">
        <f>L207+L225+L243</f>
        <v>114769.77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9280.2800000000007</v>
      </c>
      <c r="H647" s="104">
        <f>(J256+J337)-(J254+J335)</f>
        <v>9280.2799999999988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77300.75</v>
      </c>
      <c r="H648" s="104">
        <f>H597</f>
        <v>77300.75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11543.89</v>
      </c>
      <c r="H649" s="104">
        <f>I597</f>
        <v>11543.89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25925.13</v>
      </c>
      <c r="H650" s="104">
        <f>J597</f>
        <v>25925.13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15377.87</v>
      </c>
      <c r="H651" s="104">
        <f>K262+K344</f>
        <v>15377.87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1362760.56</v>
      </c>
      <c r="G659" s="19">
        <f>(L228+L308+L358)</f>
        <v>252731.56</v>
      </c>
      <c r="H659" s="19">
        <f>(L246+L327+L359)</f>
        <v>513342.66000000003</v>
      </c>
      <c r="I659" s="19">
        <f>SUM(F659:H659)</f>
        <v>2128834.7800000003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11686.31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11686.31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100134.87</v>
      </c>
      <c r="G661" s="19">
        <f>(L225+L305)-(J225+J305)</f>
        <v>17543.89</v>
      </c>
      <c r="H661" s="19">
        <f>(L243+L324)-(J243+J324)</f>
        <v>25925.13</v>
      </c>
      <c r="I661" s="19">
        <f>SUM(F661:H661)</f>
        <v>143603.88999999998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28164.660000000003</v>
      </c>
      <c r="G662" s="199">
        <f>SUM(G574:G586)+SUM(I601:I603)+L611</f>
        <v>219712.43</v>
      </c>
      <c r="H662" s="199">
        <f>SUM(H574:H586)+SUM(J601:J603)+L612</f>
        <v>452072.21</v>
      </c>
      <c r="I662" s="19">
        <f>SUM(F662:H662)</f>
        <v>699949.3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1222774.72</v>
      </c>
      <c r="G663" s="19">
        <f>G659-SUM(G660:G662)</f>
        <v>15475.239999999991</v>
      </c>
      <c r="H663" s="19">
        <f>H659-SUM(H660:H662)</f>
        <v>35345.320000000007</v>
      </c>
      <c r="I663" s="19">
        <f>I659-SUM(I660:I662)</f>
        <v>1273595.2800000003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68.540000000000006</v>
      </c>
      <c r="G664" s="248"/>
      <c r="H664" s="248"/>
      <c r="I664" s="19">
        <f>SUM(F664:H664)</f>
        <v>68.540000000000006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17840.310000000001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18581.78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-15475.24</v>
      </c>
      <c r="H668" s="18">
        <v>-35345.32</v>
      </c>
      <c r="I668" s="19">
        <f>SUM(F668:H668)</f>
        <v>-50820.56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17840.310000000001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17840.310000000001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9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WARREN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323567.03999999998</v>
      </c>
      <c r="C9" s="229">
        <f>'DOE25'!G196+'DOE25'!G214+'DOE25'!G232+'DOE25'!G275+'DOE25'!G294+'DOE25'!G313</f>
        <v>150733.21</v>
      </c>
    </row>
    <row r="10" spans="1:3" x14ac:dyDescent="0.2">
      <c r="A10" t="s">
        <v>779</v>
      </c>
      <c r="B10" s="240">
        <v>314540.78999999998</v>
      </c>
      <c r="C10" s="240">
        <v>146483.45000000001</v>
      </c>
    </row>
    <row r="11" spans="1:3" x14ac:dyDescent="0.2">
      <c r="A11" t="s">
        <v>780</v>
      </c>
      <c r="B11" s="240">
        <v>6410.25</v>
      </c>
      <c r="C11" s="240">
        <v>4023.54</v>
      </c>
    </row>
    <row r="12" spans="1:3" x14ac:dyDescent="0.2">
      <c r="A12" t="s">
        <v>781</v>
      </c>
      <c r="B12" s="240">
        <v>2616</v>
      </c>
      <c r="C12" s="240">
        <v>226.22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323567.03999999998</v>
      </c>
      <c r="C13" s="231">
        <f>SUM(C10:C12)</f>
        <v>150733.21000000002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91325.32</v>
      </c>
      <c r="C18" s="229">
        <f>'DOE25'!G197+'DOE25'!G215+'DOE25'!G233+'DOE25'!G276+'DOE25'!G295+'DOE25'!G314</f>
        <v>29094.34</v>
      </c>
    </row>
    <row r="19" spans="1:3" x14ac:dyDescent="0.2">
      <c r="A19" t="s">
        <v>779</v>
      </c>
      <c r="B19" s="240">
        <v>82286.12</v>
      </c>
      <c r="C19" s="240">
        <v>23883.34</v>
      </c>
    </row>
    <row r="20" spans="1:3" x14ac:dyDescent="0.2">
      <c r="A20" t="s">
        <v>780</v>
      </c>
      <c r="B20" s="240">
        <v>8741.25</v>
      </c>
      <c r="C20" s="240">
        <v>5188.21</v>
      </c>
    </row>
    <row r="21" spans="1:3" x14ac:dyDescent="0.2">
      <c r="A21" t="s">
        <v>781</v>
      </c>
      <c r="B21" s="240">
        <v>297.95</v>
      </c>
      <c r="C21" s="240">
        <v>22.79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91325.319999999992</v>
      </c>
      <c r="C22" s="231">
        <f>SUM(C19:C21)</f>
        <v>29094.34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33585.29</v>
      </c>
      <c r="C36" s="235">
        <f>'DOE25'!G199+'DOE25'!G217+'DOE25'!G235+'DOE25'!G278+'DOE25'!G297+'DOE25'!G316</f>
        <v>3922.88</v>
      </c>
    </row>
    <row r="37" spans="1:3" x14ac:dyDescent="0.2">
      <c r="A37" t="s">
        <v>779</v>
      </c>
      <c r="B37" s="240">
        <v>10621.25</v>
      </c>
      <c r="C37" s="240">
        <v>2005.25</v>
      </c>
    </row>
    <row r="38" spans="1:3" x14ac:dyDescent="0.2">
      <c r="A38" t="s">
        <v>780</v>
      </c>
      <c r="B38" s="240">
        <v>14976.54</v>
      </c>
      <c r="C38" s="240">
        <v>1306.56</v>
      </c>
    </row>
    <row r="39" spans="1:3" x14ac:dyDescent="0.2">
      <c r="A39" t="s">
        <v>781</v>
      </c>
      <c r="B39" s="240">
        <v>7987.5</v>
      </c>
      <c r="C39" s="240">
        <v>611.07000000000005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33585.29</v>
      </c>
      <c r="C40" s="231">
        <f>SUM(C37:C39)</f>
        <v>3922.88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tabSelected="1"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WARREN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1278814.1199999999</v>
      </c>
      <c r="D5" s="20">
        <f>SUM('DOE25'!L196:L199)+SUM('DOE25'!L214:L217)+SUM('DOE25'!L232:L235)-F5-G5</f>
        <v>1273896.23</v>
      </c>
      <c r="E5" s="243"/>
      <c r="F5" s="255">
        <f>SUM('DOE25'!J196:J199)+SUM('DOE25'!J214:J217)+SUM('DOE25'!J232:J235)</f>
        <v>3934.64</v>
      </c>
      <c r="G5" s="53">
        <f>SUM('DOE25'!K196:K199)+SUM('DOE25'!K214:K217)+SUM('DOE25'!K232:K235)</f>
        <v>983.25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115574.74</v>
      </c>
      <c r="D6" s="20">
        <f>'DOE25'!L201+'DOE25'!L219+'DOE25'!L237-F6-G6</f>
        <v>112592.28</v>
      </c>
      <c r="E6" s="243"/>
      <c r="F6" s="255">
        <f>'DOE25'!J201+'DOE25'!J219+'DOE25'!J237</f>
        <v>0</v>
      </c>
      <c r="G6" s="53">
        <f>'DOE25'!K201+'DOE25'!K219+'DOE25'!K237</f>
        <v>2982.46</v>
      </c>
      <c r="H6" s="259"/>
    </row>
    <row r="7" spans="1:9" x14ac:dyDescent="0.2">
      <c r="A7" s="32">
        <v>2200</v>
      </c>
      <c r="B7" t="s">
        <v>834</v>
      </c>
      <c r="C7" s="245">
        <f t="shared" si="0"/>
        <v>48078.39</v>
      </c>
      <c r="D7" s="20">
        <f>'DOE25'!L202+'DOE25'!L220+'DOE25'!L238-F7-G7</f>
        <v>48078.39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63751.650000000016</v>
      </c>
      <c r="D8" s="243"/>
      <c r="E8" s="20">
        <f>'DOE25'!L203+'DOE25'!L221+'DOE25'!L239-F8-G8-D9-D11</f>
        <v>61452.000000000015</v>
      </c>
      <c r="F8" s="255">
        <f>'DOE25'!J203+'DOE25'!J221+'DOE25'!J239</f>
        <v>0</v>
      </c>
      <c r="G8" s="53">
        <f>'DOE25'!K203+'DOE25'!K221+'DOE25'!K239</f>
        <v>2299.65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13801.64</v>
      </c>
      <c r="D9" s="244">
        <f>1250+95.63+3637+298.26+146.21+44.69+550+42.09+26.39+300+22.95+160.99+75+5.74+87.19+6746+313.5</f>
        <v>13801.64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6746</v>
      </c>
      <c r="D10" s="243"/>
      <c r="E10" s="244">
        <v>6746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18890</v>
      </c>
      <c r="D11" s="301">
        <v>18890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122093.23</v>
      </c>
      <c r="D12" s="20">
        <f>'DOE25'!L204+'DOE25'!L222+'DOE25'!L240-F12-G12</f>
        <v>121443.23999999999</v>
      </c>
      <c r="E12" s="243"/>
      <c r="F12" s="255">
        <f>'DOE25'!J204+'DOE25'!J222+'DOE25'!J240</f>
        <v>188.99</v>
      </c>
      <c r="G12" s="53">
        <f>'DOE25'!K204+'DOE25'!K222+'DOE25'!K240</f>
        <v>461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109764.16</v>
      </c>
      <c r="D14" s="20">
        <f>'DOE25'!L206+'DOE25'!L224+'DOE25'!L242-F14-G14</f>
        <v>104607.51000000001</v>
      </c>
      <c r="E14" s="243"/>
      <c r="F14" s="255">
        <f>'DOE25'!J206+'DOE25'!J224+'DOE25'!J242</f>
        <v>5156.6499999999996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114769.77</v>
      </c>
      <c r="D15" s="20">
        <f>'DOE25'!L207+'DOE25'!L225+'DOE25'!L243-F15-G15</f>
        <v>114769.77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4252.58</v>
      </c>
      <c r="D16" s="243"/>
      <c r="E16" s="20">
        <f>'DOE25'!L208+'DOE25'!L226+'DOE25'!L244-F16-G16</f>
        <v>4252.58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27728.990000000005</v>
      </c>
      <c r="D29" s="20">
        <f>'DOE25'!L357+'DOE25'!L358+'DOE25'!L359-'DOE25'!I366-F29-G29</f>
        <v>26728.990000000005</v>
      </c>
      <c r="E29" s="243"/>
      <c r="F29" s="255">
        <f>'DOE25'!J357+'DOE25'!J358+'DOE25'!J359</f>
        <v>1000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191321.17</v>
      </c>
      <c r="D31" s="20">
        <f>'DOE25'!L289+'DOE25'!L308+'DOE25'!L327+'DOE25'!L332+'DOE25'!L333+'DOE25'!L334-F31-G31</f>
        <v>187800.14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3521.0299999999997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2022608.19</v>
      </c>
      <c r="E33" s="246">
        <f>SUM(E5:E31)</f>
        <v>72450.580000000016</v>
      </c>
      <c r="F33" s="246">
        <f>SUM(F5:F31)</f>
        <v>10280.279999999999</v>
      </c>
      <c r="G33" s="246">
        <f>SUM(G5:G31)</f>
        <v>10247.39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72450.580000000016</v>
      </c>
      <c r="E35" s="249"/>
    </row>
    <row r="36" spans="2:8" ht="12" thickTop="1" x14ac:dyDescent="0.2">
      <c r="B36" t="s">
        <v>815</v>
      </c>
      <c r="D36" s="20">
        <f>D33</f>
        <v>2022608.19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12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WARREN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32491.94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87094.819999999992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11601.78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8827.3700000000008</v>
      </c>
      <c r="D12" s="95">
        <f>'DOE25'!G13</f>
        <v>4540.82</v>
      </c>
      <c r="E12" s="95">
        <f>'DOE25'!H13</f>
        <v>23536.02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5071.7199999999993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57992.810000000005</v>
      </c>
      <c r="D18" s="41">
        <f>SUM(D8:D17)</f>
        <v>4540.82</v>
      </c>
      <c r="E18" s="41">
        <f>SUM(E8:E17)</f>
        <v>23536.02</v>
      </c>
      <c r="F18" s="41">
        <f>SUM(F8:F17)</f>
        <v>0</v>
      </c>
      <c r="G18" s="41">
        <f>SUM(G8:G17)</f>
        <v>87094.819999999992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4145.5200000000004</v>
      </c>
      <c r="E21" s="95">
        <f>'DOE25'!H22</f>
        <v>7456.26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13784.57</v>
      </c>
      <c r="D23" s="95">
        <f>'DOE25'!G24</f>
        <v>395.3</v>
      </c>
      <c r="E23" s="95">
        <f>'DOE25'!H24</f>
        <v>1197.8599999999999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945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176.04999999999998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14881.9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14905.619999999999</v>
      </c>
      <c r="D31" s="41">
        <f>SUM(D21:D30)</f>
        <v>4540.8200000000006</v>
      </c>
      <c r="E31" s="41">
        <f>SUM(E21:E30)</f>
        <v>23536.02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87094.819999999992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22489.46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20597.729999999989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43087.189999999988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87094.819999999992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57992.809999999983</v>
      </c>
      <c r="D50" s="41">
        <f>D49+D31</f>
        <v>4540.8200000000006</v>
      </c>
      <c r="E50" s="41">
        <f>E49+E31</f>
        <v>23536.02</v>
      </c>
      <c r="F50" s="41">
        <f>F49+F31</f>
        <v>0</v>
      </c>
      <c r="G50" s="41">
        <f>G49+G31</f>
        <v>87094.819999999992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662455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8405.5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157.97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58.84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10534.71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3111.45</v>
      </c>
      <c r="D60" s="95">
        <f>SUM('DOE25'!G97:G109)</f>
        <v>1151.5999999999999</v>
      </c>
      <c r="E60" s="95">
        <f>SUM('DOE25'!H97:H109)</f>
        <v>19067.63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11674.919999999998</v>
      </c>
      <c r="D61" s="130">
        <f>SUM(D56:D60)</f>
        <v>11686.31</v>
      </c>
      <c r="E61" s="130">
        <f>SUM(E56:E60)</f>
        <v>19067.63</v>
      </c>
      <c r="F61" s="130">
        <f>SUM(F56:F60)</f>
        <v>0</v>
      </c>
      <c r="G61" s="130">
        <f>SUM(G56:G60)</f>
        <v>58.84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674129.92000000004</v>
      </c>
      <c r="D62" s="22">
        <f>D55+D61</f>
        <v>11686.31</v>
      </c>
      <c r="E62" s="22">
        <f>E55+E61</f>
        <v>19067.63</v>
      </c>
      <c r="F62" s="22">
        <f>F55+F61</f>
        <v>0</v>
      </c>
      <c r="G62" s="22">
        <f>G55+G61</f>
        <v>58.84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844870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187506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1032376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32140.35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361.85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32140.35</v>
      </c>
      <c r="D77" s="130">
        <f>SUM(D71:D76)</f>
        <v>361.85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1064516.3500000001</v>
      </c>
      <c r="D80" s="130">
        <f>SUM(D78:D79)+D77+D69</f>
        <v>361.85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6240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19469.37</v>
      </c>
      <c r="D87" s="95">
        <f>SUM('DOE25'!G152:G160)</f>
        <v>20297.300000000003</v>
      </c>
      <c r="E87" s="95">
        <f>SUM('DOE25'!H152:H160)</f>
        <v>166013.54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10846.77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30316.14</v>
      </c>
      <c r="D90" s="131">
        <f>SUM(D84:D89)</f>
        <v>20297.300000000003</v>
      </c>
      <c r="E90" s="131">
        <f>SUM(E84:E89)</f>
        <v>172253.54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15377.87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15377.87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1768962.41</v>
      </c>
      <c r="D103" s="86">
        <f>D62+D80+D90+D102</f>
        <v>47723.33</v>
      </c>
      <c r="E103" s="86">
        <f>E62+E80+E90+E102</f>
        <v>191321.17</v>
      </c>
      <c r="F103" s="86">
        <f>F62+F80+F90+F102</f>
        <v>0</v>
      </c>
      <c r="G103" s="86">
        <f>G62+G80+G102</f>
        <v>20058.84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1004906.8600000001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214975.89</v>
      </c>
      <c r="D109" s="24" t="s">
        <v>289</v>
      </c>
      <c r="E109" s="95">
        <f>('DOE25'!L276)+('DOE25'!L295)+('DOE25'!L314)</f>
        <v>69807.430000000008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48888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10043.370000000001</v>
      </c>
      <c r="D111" s="24" t="s">
        <v>289</v>
      </c>
      <c r="E111" s="95">
        <f>+('DOE25'!L278)+('DOE25'!L297)+('DOE25'!L316)</f>
        <v>39153.269999999997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1278814.1200000001</v>
      </c>
      <c r="D114" s="86">
        <f>SUM(D108:D113)</f>
        <v>0</v>
      </c>
      <c r="E114" s="86">
        <f>SUM(E108:E113)</f>
        <v>108960.70000000001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115574.74</v>
      </c>
      <c r="D117" s="24" t="s">
        <v>289</v>
      </c>
      <c r="E117" s="95">
        <f>+('DOE25'!L280)+('DOE25'!L299)+('DOE25'!L318)</f>
        <v>4285.75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48078.39</v>
      </c>
      <c r="D118" s="24" t="s">
        <v>289</v>
      </c>
      <c r="E118" s="95">
        <f>+('DOE25'!L281)+('DOE25'!L300)+('DOE25'!L319)</f>
        <v>1029.8600000000001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96443.290000000008</v>
      </c>
      <c r="D119" s="24" t="s">
        <v>289</v>
      </c>
      <c r="E119" s="95">
        <f>+('DOE25'!L282)+('DOE25'!L301)+('DOE25'!L320)</f>
        <v>1086.49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122093.23</v>
      </c>
      <c r="D120" s="24" t="s">
        <v>289</v>
      </c>
      <c r="E120" s="95">
        <f>+('DOE25'!L283)+('DOE25'!L302)+('DOE25'!L321)</f>
        <v>47124.25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109764.16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114769.77</v>
      </c>
      <c r="D123" s="24" t="s">
        <v>289</v>
      </c>
      <c r="E123" s="95">
        <f>+('DOE25'!L286)+('DOE25'!L305)+('DOE25'!L324)</f>
        <v>28834.12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4252.58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47723.33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610976.16</v>
      </c>
      <c r="D127" s="86">
        <f>SUM(D117:D126)</f>
        <v>47723.33</v>
      </c>
      <c r="E127" s="86">
        <f>SUM(E117:E126)</f>
        <v>82360.47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15377.87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2.29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20056.55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-58.840000000000146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35377.869999999995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1925168.1500000004</v>
      </c>
      <c r="D144" s="86">
        <f>(D114+D127+D143)</f>
        <v>47723.33</v>
      </c>
      <c r="E144" s="86">
        <f>(E114+E127+E143)</f>
        <v>191321.17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2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WARREN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17840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17840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1004907</v>
      </c>
      <c r="D10" s="182">
        <f>ROUND((C10/$C$28)*100,1)</f>
        <v>47.5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284783</v>
      </c>
      <c r="D11" s="182">
        <f>ROUND((C11/$C$28)*100,1)</f>
        <v>13.5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48888</v>
      </c>
      <c r="D12" s="182">
        <f>ROUND((C12/$C$28)*100,1)</f>
        <v>2.2999999999999998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49197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119860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49108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101782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169217</v>
      </c>
      <c r="D18" s="182">
        <f t="shared" si="0"/>
        <v>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109764</v>
      </c>
      <c r="D20" s="182">
        <f t="shared" si="0"/>
        <v>5.2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143604</v>
      </c>
      <c r="D21" s="182">
        <f t="shared" si="0"/>
        <v>6.8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36036.69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2117146.69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2117146.69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662455</v>
      </c>
      <c r="D35" s="182">
        <f t="shared" ref="D35:D40" si="1">ROUND((C35/$C$41)*100,1)</f>
        <v>33.4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30801.390000000014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1032376</v>
      </c>
      <c r="D37" s="182">
        <f t="shared" si="1"/>
        <v>52.1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32502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222867</v>
      </c>
      <c r="D39" s="182">
        <f t="shared" si="1"/>
        <v>11.3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1981001.3900000001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WARREN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2013-09-13T15:30:33Z</cp:lastPrinted>
  <dcterms:created xsi:type="dcterms:W3CDTF">1997-12-04T19:04:30Z</dcterms:created>
  <dcterms:modified xsi:type="dcterms:W3CDTF">2013-10-10T16:37:21Z</dcterms:modified>
</cp:coreProperties>
</file>