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D19" i="13" s="1"/>
  <c r="C19" i="13" s="1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2" i="10"/>
  <c r="C13" i="10"/>
  <c r="C18" i="10"/>
  <c r="C20" i="10"/>
  <c r="L249" i="1"/>
  <c r="L331" i="1"/>
  <c r="L253" i="1"/>
  <c r="L267" i="1"/>
  <c r="L268" i="1"/>
  <c r="L348" i="1"/>
  <c r="L349" i="1"/>
  <c r="I664" i="1"/>
  <c r="I669" i="1"/>
  <c r="L228" i="1"/>
  <c r="F660" i="1"/>
  <c r="H660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C61" i="2" s="1"/>
  <c r="D58" i="2"/>
  <c r="E58" i="2"/>
  <c r="F58" i="2"/>
  <c r="D59" i="2"/>
  <c r="C60" i="2"/>
  <c r="D60" i="2"/>
  <c r="E60" i="2"/>
  <c r="F60" i="2"/>
  <c r="F61" i="2" s="1"/>
  <c r="F62" i="2" s="1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D90" i="2" s="1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E117" i="2"/>
  <c r="C118" i="2"/>
  <c r="E118" i="2"/>
  <c r="E119" i="2"/>
  <c r="C120" i="2"/>
  <c r="E120" i="2"/>
  <c r="C121" i="2"/>
  <c r="E121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G161" i="2" s="1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G617" i="1" s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F475" i="1" s="1"/>
  <c r="H621" i="1" s="1"/>
  <c r="G469" i="1"/>
  <c r="H469" i="1"/>
  <c r="H475" i="1" s="1"/>
  <c r="H623" i="1" s="1"/>
  <c r="I469" i="1"/>
  <c r="J469" i="1"/>
  <c r="F473" i="1"/>
  <c r="G473" i="1"/>
  <c r="G475" i="1" s="1"/>
  <c r="H622" i="1" s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4" i="1" s="1"/>
  <c r="G647" i="1" s="1"/>
  <c r="K603" i="1"/>
  <c r="H604" i="1"/>
  <c r="I604" i="1"/>
  <c r="J604" i="1"/>
  <c r="F613" i="1"/>
  <c r="G613" i="1"/>
  <c r="H613" i="1"/>
  <c r="I613" i="1"/>
  <c r="J613" i="1"/>
  <c r="K613" i="1"/>
  <c r="G618" i="1"/>
  <c r="G619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J633" i="1" s="1"/>
  <c r="H634" i="1"/>
  <c r="H635" i="1"/>
  <c r="H636" i="1"/>
  <c r="H637" i="1"/>
  <c r="G638" i="1"/>
  <c r="H638" i="1"/>
  <c r="G639" i="1"/>
  <c r="H639" i="1"/>
  <c r="G640" i="1"/>
  <c r="H640" i="1"/>
  <c r="J640" i="1" s="1"/>
  <c r="G641" i="1"/>
  <c r="H641" i="1"/>
  <c r="G642" i="1"/>
  <c r="H642" i="1"/>
  <c r="G643" i="1"/>
  <c r="H643" i="1"/>
  <c r="J643" i="1" s="1"/>
  <c r="G644" i="1"/>
  <c r="H644" i="1"/>
  <c r="H646" i="1"/>
  <c r="G648" i="1"/>
  <c r="G649" i="1"/>
  <c r="G650" i="1"/>
  <c r="G651" i="1"/>
  <c r="H651" i="1"/>
  <c r="G652" i="1"/>
  <c r="H652" i="1"/>
  <c r="G653" i="1"/>
  <c r="H653" i="1"/>
  <c r="H654" i="1"/>
  <c r="F191" i="1"/>
  <c r="L255" i="1"/>
  <c r="G163" i="2"/>
  <c r="C26" i="10"/>
  <c r="L327" i="1"/>
  <c r="L350" i="1"/>
  <c r="A31" i="12"/>
  <c r="E49" i="2"/>
  <c r="D15" i="13"/>
  <c r="C15" i="13" s="1"/>
  <c r="D7" i="13"/>
  <c r="C7" i="13" s="1"/>
  <c r="D17" i="13"/>
  <c r="C17" i="13" s="1"/>
  <c r="F77" i="2"/>
  <c r="F80" i="2" s="1"/>
  <c r="F49" i="2"/>
  <c r="E102" i="2"/>
  <c r="F90" i="2"/>
  <c r="E61" i="2"/>
  <c r="E62" i="2" s="1"/>
  <c r="G61" i="2"/>
  <c r="L426" i="1"/>
  <c r="H111" i="1"/>
  <c r="J638" i="1"/>
  <c r="J570" i="1"/>
  <c r="K570" i="1"/>
  <c r="L432" i="1"/>
  <c r="L418" i="1"/>
  <c r="I168" i="1"/>
  <c r="H168" i="1"/>
  <c r="G551" i="1"/>
  <c r="J642" i="1"/>
  <c r="J475" i="1"/>
  <c r="H625" i="1" s="1"/>
  <c r="I475" i="1"/>
  <c r="H624" i="1" s="1"/>
  <c r="J624" i="1" s="1"/>
  <c r="G337" i="1"/>
  <c r="G351" i="1" s="1"/>
  <c r="F168" i="1"/>
  <c r="J139" i="1"/>
  <c r="F570" i="1"/>
  <c r="I551" i="1"/>
  <c r="K549" i="1"/>
  <c r="G22" i="2"/>
  <c r="K597" i="1"/>
  <c r="G646" i="1" s="1"/>
  <c r="J646" i="1" s="1"/>
  <c r="J551" i="1"/>
  <c r="H551" i="1"/>
  <c r="C29" i="10"/>
  <c r="H139" i="1"/>
  <c r="L400" i="1"/>
  <c r="C138" i="2" s="1"/>
  <c r="L392" i="1"/>
  <c r="C137" i="2" s="1"/>
  <c r="F22" i="13"/>
  <c r="J650" i="1"/>
  <c r="J639" i="1"/>
  <c r="H570" i="1"/>
  <c r="L559" i="1"/>
  <c r="J544" i="1"/>
  <c r="F337" i="1"/>
  <c r="F351" i="1" s="1"/>
  <c r="H191" i="1"/>
  <c r="L308" i="1"/>
  <c r="E16" i="13"/>
  <c r="C16" i="13" s="1"/>
  <c r="C49" i="2"/>
  <c r="J654" i="1"/>
  <c r="J644" i="1"/>
  <c r="L569" i="1"/>
  <c r="I570" i="1"/>
  <c r="J635" i="1"/>
  <c r="G36" i="2"/>
  <c r="L564" i="1"/>
  <c r="K550" i="1"/>
  <c r="C22" i="13"/>
  <c r="H544" i="1" l="1"/>
  <c r="K544" i="1"/>
  <c r="J622" i="1"/>
  <c r="J623" i="1"/>
  <c r="L336" i="1"/>
  <c r="K256" i="1"/>
  <c r="K270" i="1" s="1"/>
  <c r="I256" i="1"/>
  <c r="I270" i="1" s="1"/>
  <c r="G256" i="1"/>
  <c r="G270" i="1" s="1"/>
  <c r="G160" i="2"/>
  <c r="G156" i="2"/>
  <c r="G155" i="2"/>
  <c r="C102" i="2"/>
  <c r="F102" i="2"/>
  <c r="C77" i="2"/>
  <c r="D80" i="2"/>
  <c r="D61" i="2"/>
  <c r="D62" i="2" s="1"/>
  <c r="D49" i="2"/>
  <c r="D31" i="2"/>
  <c r="F18" i="2"/>
  <c r="D18" i="2"/>
  <c r="E143" i="2"/>
  <c r="C35" i="10"/>
  <c r="A13" i="12"/>
  <c r="C25" i="10"/>
  <c r="E108" i="2"/>
  <c r="G660" i="1"/>
  <c r="I660" i="1" s="1"/>
  <c r="D18" i="13"/>
  <c r="C18" i="13" s="1"/>
  <c r="C21" i="10"/>
  <c r="D14" i="13"/>
  <c r="C14" i="13" s="1"/>
  <c r="D12" i="13"/>
  <c r="C12" i="13" s="1"/>
  <c r="C117" i="2"/>
  <c r="L246" i="1"/>
  <c r="E13" i="13"/>
  <c r="C13" i="13" s="1"/>
  <c r="C17" i="10"/>
  <c r="H337" i="1"/>
  <c r="H351" i="1" s="1"/>
  <c r="J256" i="1"/>
  <c r="J270" i="1" s="1"/>
  <c r="F256" i="1"/>
  <c r="F270" i="1" s="1"/>
  <c r="G191" i="1"/>
  <c r="L269" i="1"/>
  <c r="C23" i="10"/>
  <c r="C122" i="2"/>
  <c r="F111" i="1"/>
  <c r="G621" i="1"/>
  <c r="J621" i="1" s="1"/>
  <c r="J616" i="1"/>
  <c r="G162" i="2"/>
  <c r="G102" i="2"/>
  <c r="E77" i="2"/>
  <c r="E80" i="2" s="1"/>
  <c r="G80" i="2"/>
  <c r="E31" i="2"/>
  <c r="E50" i="2" s="1"/>
  <c r="F31" i="2"/>
  <c r="F50" i="2" s="1"/>
  <c r="C31" i="2"/>
  <c r="G157" i="2"/>
  <c r="E18" i="2"/>
  <c r="G158" i="2"/>
  <c r="A40" i="12"/>
  <c r="L613" i="1"/>
  <c r="J648" i="1"/>
  <c r="K548" i="1"/>
  <c r="K551" i="1" s="1"/>
  <c r="I544" i="1"/>
  <c r="G544" i="1"/>
  <c r="F551" i="1"/>
  <c r="L523" i="1"/>
  <c r="L544" i="1" s="1"/>
  <c r="G159" i="2"/>
  <c r="D29" i="13"/>
  <c r="C29" i="13" s="1"/>
  <c r="L361" i="1"/>
  <c r="E127" i="2"/>
  <c r="C19" i="10"/>
  <c r="C16" i="10"/>
  <c r="L289" i="1"/>
  <c r="E114" i="2"/>
  <c r="E144" i="2" s="1"/>
  <c r="H25" i="13"/>
  <c r="C25" i="13" s="1"/>
  <c r="C131" i="2"/>
  <c r="C109" i="2"/>
  <c r="H659" i="1"/>
  <c r="H663" i="1" s="1"/>
  <c r="H671" i="1" s="1"/>
  <c r="C6" i="10" s="1"/>
  <c r="H256" i="1"/>
  <c r="H270" i="1" s="1"/>
  <c r="C10" i="10"/>
  <c r="F661" i="1"/>
  <c r="I661" i="1" s="1"/>
  <c r="C119" i="2"/>
  <c r="C127" i="2" s="1"/>
  <c r="E8" i="13"/>
  <c r="C8" i="13" s="1"/>
  <c r="C15" i="10"/>
  <c r="D6" i="13"/>
  <c r="C6" i="13" s="1"/>
  <c r="C108" i="2"/>
  <c r="L210" i="1"/>
  <c r="D5" i="13"/>
  <c r="C5" i="13" s="1"/>
  <c r="C90" i="2"/>
  <c r="C69" i="2"/>
  <c r="C80" i="2" s="1"/>
  <c r="C62" i="2"/>
  <c r="C18" i="2"/>
  <c r="C50" i="2"/>
  <c r="D144" i="2"/>
  <c r="L337" i="1"/>
  <c r="L351" i="1" s="1"/>
  <c r="G632" i="1" s="1"/>
  <c r="J632" i="1" s="1"/>
  <c r="C24" i="10"/>
  <c r="G659" i="1"/>
  <c r="G663" i="1" s="1"/>
  <c r="G671" i="1" s="1"/>
  <c r="C5" i="10" s="1"/>
  <c r="G31" i="13"/>
  <c r="G33" i="13" s="1"/>
  <c r="I337" i="1"/>
  <c r="I351" i="1" s="1"/>
  <c r="J649" i="1"/>
  <c r="L406" i="1"/>
  <c r="C139" i="2" s="1"/>
  <c r="C140" i="2" s="1"/>
  <c r="L570" i="1"/>
  <c r="I191" i="1"/>
  <c r="E90" i="2"/>
  <c r="E103" i="2" s="1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F31" i="13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J617" i="1"/>
  <c r="G42" i="2"/>
  <c r="G49" i="2" s="1"/>
  <c r="G50" i="2" s="1"/>
  <c r="J50" i="1"/>
  <c r="G16" i="2"/>
  <c r="J19" i="1"/>
  <c r="G620" i="1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H647" i="1"/>
  <c r="J647" i="1" s="1"/>
  <c r="J651" i="1"/>
  <c r="J641" i="1"/>
  <c r="G570" i="1"/>
  <c r="I433" i="1"/>
  <c r="G433" i="1"/>
  <c r="I662" i="1"/>
  <c r="C27" i="10"/>
  <c r="G634" i="1"/>
  <c r="J634" i="1" s="1"/>
  <c r="C114" i="2" l="1"/>
  <c r="G103" i="2"/>
  <c r="C143" i="2"/>
  <c r="C144" i="2" s="1"/>
  <c r="D31" i="13"/>
  <c r="C31" i="13" s="1"/>
  <c r="F659" i="1"/>
  <c r="I659" i="1" s="1"/>
  <c r="I663" i="1" s="1"/>
  <c r="I671" i="1" s="1"/>
  <c r="C7" i="10" s="1"/>
  <c r="H33" i="13"/>
  <c r="E33" i="13"/>
  <c r="D35" i="13" s="1"/>
  <c r="L256" i="1"/>
  <c r="L270" i="1" s="1"/>
  <c r="G631" i="1" s="1"/>
  <c r="J631" i="1" s="1"/>
  <c r="C103" i="2"/>
  <c r="G666" i="1"/>
  <c r="F33" i="13"/>
  <c r="C28" i="10"/>
  <c r="D22" i="10" s="1"/>
  <c r="G630" i="1"/>
  <c r="J630" i="1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F663" i="1" l="1"/>
  <c r="F666" i="1" s="1"/>
  <c r="D20" i="10"/>
  <c r="D15" i="10"/>
  <c r="D19" i="10"/>
  <c r="D25" i="10"/>
  <c r="D10" i="10"/>
  <c r="D26" i="10"/>
  <c r="C30" i="10"/>
  <c r="D16" i="10"/>
  <c r="D23" i="10"/>
  <c r="D27" i="10"/>
  <c r="D18" i="10"/>
  <c r="D17" i="10"/>
  <c r="D12" i="10"/>
  <c r="D24" i="10"/>
  <c r="D13" i="10"/>
  <c r="D11" i="10"/>
  <c r="D21" i="10"/>
  <c r="I666" i="1"/>
  <c r="H655" i="1"/>
  <c r="C41" i="10"/>
  <c r="D38" i="10" s="1"/>
  <c r="F671" i="1" l="1"/>
  <c r="C4" i="10" s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<sst xmlns="http://schemas.openxmlformats.org/spreadsheetml/2006/main" count="3946" uniqueCount="912">
  <si>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</si>
  <si>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</si>
  <si>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</si>
  <si>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</si>
  <si>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</si>
  <si>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</si>
  <si>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</si>
  <si>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</si>
  <si>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</si>
  <si>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</si>
  <si>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</si>
  <si>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</si>
  <si>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</si>
  <si>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</si>
  <si>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</si>
  <si>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</si>
  <si>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</si>
  <si>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</si>
  <si>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</si>
  <si>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</si>
  <si>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</si>
  <si>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</si>
  <si>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</si>
  <si>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</si>
  <si>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</si>
  <si>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</si>
  <si>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</si>
  <si>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</si>
  <si>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</si>
  <si>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</si>
  <si>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</si>
  <si>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</si>
  <si>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</si>
  <si>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</si>
  <si>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</si>
  <si>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</si>
  <si>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</si>
  <si>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</si>
  <si>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</si>
  <si>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</si>
  <si>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</si>
  <si>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</si>
  <si>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</si>
  <si>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</si>
  <si>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</si>
  <si>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</si>
  <si>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</si>
  <si>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</si>
  <si>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</si>
  <si>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</si>
  <si>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</si>
  <si>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</si>
  <si>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</si>
  <si>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</si>
  <si>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</si>
  <si>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</si>
  <si>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</si>
  <si>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</si>
  <si>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</si>
  <si>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</si>
  <si>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</si>
  <si>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</si>
  <si>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</si>
  <si>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</si>
  <si>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</si>
  <si>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</si>
  <si>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</si>
  <si>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</si>
  <si>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</si>
  <si>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</si>
  <si>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</si>
  <si>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</si>
  <si>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</si>
  <si>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</si>
  <si>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</si>
  <si>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</si>
  <si>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</si>
  <si>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</si>
  <si>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</si>
  <si>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</si>
  <si>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</si>
  <si>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</si>
  <si>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</si>
  <si>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</si>
  <si>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</si>
  <si>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</si>
  <si>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</si>
  <si>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</si>
  <si>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</si>
  <si>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</si>
  <si>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</si>
  <si>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</si>
  <si>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</si>
  <si>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</si>
  <si>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</si>
  <si>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</si>
  <si>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</si>
  <si>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</si>
  <si>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</si>
  <si>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</si>
  <si>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</si>
  <si>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</si>
  <si>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</si>
  <si>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</si>
  <si>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</si>
  <si>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</si>
  <si>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</si>
  <si>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</si>
  <si>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</si>
  <si>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</si>
  <si>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</si>
  <si>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</si>
  <si>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</si>
  <si>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</si>
  <si>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</si>
  <si>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</si>
  <si>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</si>
  <si>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</si>
  <si>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</si>
  <si>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</si>
  <si>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</si>
  <si>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</si>
  <si>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</si>
  <si>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</si>
  <si>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</si>
  <si>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</si>
  <si>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</si>
  <si>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</si>
  <si>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</si>
  <si>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</si>
  <si>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</si>
  <si>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</si>
  <si>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</si>
  <si>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</si>
  <si>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</si>
  <si>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</si>
  <si>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</si>
  <si>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</si>
  <si>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</si>
  <si>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</si>
  <si>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</si>
  <si>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</si>
  <si>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</si>
  <si>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</si>
  <si>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</si>
  <si>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</si>
  <si>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</si>
  <si>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</si>
  <si>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</si>
  <si>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</si>
  <si>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</si>
  <si>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</si>
  <si>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</si>
  <si>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</si>
  <si>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</si>
  <si>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</si>
  <si>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</si>
  <si>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</si>
  <si>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</si>
  <si>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</si>
  <si>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</si>
  <si>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</si>
  <si>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</si>
  <si>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</si>
  <si>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</si>
  <si>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</si>
  <si>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</si>
  <si>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</si>
  <si>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</si>
  <si>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</si>
  <si>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</si>
  <si>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</si>
  <si>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</si>
  <si>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</si>
  <si>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</si>
  <si>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</si>
  <si>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</si>
  <si>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</si>
  <si>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</si>
  <si>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</si>
  <si>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</si>
  <si>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</si>
  <si>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</si>
  <si>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</si>
  <si>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</si>
  <si>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</si>
  <si>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</si>
  <si>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</si>
  <si>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</si>
  <si>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</si>
  <si>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</si>
  <si>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</si>
  <si>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</si>
  <si>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</si>
  <si>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</si>
  <si>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</si>
  <si>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</si>
  <si>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</si>
  <si>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</si>
  <si>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</si>
  <si>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</si>
  <si>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</si>
  <si>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</si>
  <si>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</si>
  <si>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</si>
  <si>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</si>
  <si>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</si>
  <si>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</si>
  <si>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</si>
  <si>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</si>
  <si>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</si>
  <si>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</si>
  <si>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</si>
  <si>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</si>
  <si>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</si>
  <si>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</si>
  <si>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</si>
  <si>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</si>
  <si>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</si>
  <si>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</si>
  <si>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</si>
  <si>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</si>
  <si>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</si>
  <si>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</si>
  <si>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</si>
  <si>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</si>
  <si>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</si>
  <si>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</si>
  <si>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</si>
  <si>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</si>
  <si>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</si>
  <si>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</si>
  <si>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</si>
  <si>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</si>
  <si>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</si>
  <si>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</si>
  <si>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</si>
  <si>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</si>
  <si>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</si>
  <si>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</si>
  <si>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</si>
  <si>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</si>
  <si>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</si>
  <si>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</si>
  <si>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</si>
  <si>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</si>
  <si>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</si>
  <si>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</si>
  <si>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</si>
  <si>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</si>
  <si>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</si>
  <si>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</si>
  <si>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</si>
  <si>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</si>
  <si>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</si>
  <si>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</si>
  <si>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</si>
  <si>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</si>
  <si>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</si>
  <si>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</si>
  <si>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</si>
  <si>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</si>
  <si>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</si>
  <si>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</si>
  <si>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</si>
  <si>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</si>
  <si>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</si>
  <si>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</si>
  <si>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</si>
  <si>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</si>
  <si>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</si>
  <si>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</si>
  <si>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</si>
  <si>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</si>
  <si>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</si>
  <si>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</si>
  <si>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</si>
  <si>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</si>
  <si>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</si>
  <si>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</si>
  <si>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</si>
  <si>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</si>
  <si>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</si>
  <si>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</si>
  <si>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</si>
  <si>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</si>
  <si>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</si>
  <si>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</si>
  <si>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</si>
  <si>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</si>
  <si>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</si>
  <si>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</si>
  <si>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</si>
  <si>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</si>
  <si>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</si>
  <si>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</si>
  <si>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</si>
  <si>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</si>
  <si>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</si>
  <si>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</si>
  <si>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</si>
  <si>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</si>
  <si>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</si>
  <si>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</si>
  <si>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</si>
  <si>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</si>
  <si>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</si>
  <si>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</si>
  <si>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</si>
  <si>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</si>
  <si>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</si>
  <si>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</si>
  <si>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</si>
  <si>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</si>
  <si>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</si>
  <si>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</si>
  <si>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</si>
  <si>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</si>
  <si>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</si>
  <si>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</si>
  <si>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</si>
  <si>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</si>
  <si>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</si>
  <si>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</si>
  <si>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</si>
  <si>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</si>
  <si>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</si>
  <si>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</si>
  <si>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</si>
  <si>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</si>
  <si>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</si>
  <si>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</si>
  <si>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</si>
  <si>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</si>
  <si>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</si>
  <si>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</si>
  <si>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</si>
  <si>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</si>
  <si>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</si>
  <si>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</si>
  <si>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</si>
  <si>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</si>
  <si>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</si>
  <si>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</si>
  <si>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</si>
  <si>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</si>
  <si>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</si>
  <si>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</si>
  <si>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</si>
  <si>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</si>
  <si>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</si>
  <si>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</si>
  <si>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</si>
  <si>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</si>
  <si>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</si>
  <si>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</si>
  <si>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</si>
  <si>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</si>
  <si>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</si>
  <si>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</si>
  <si>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</si>
  <si>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</si>
  <si>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</si>
  <si>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</si>
  <si>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</si>
  <si>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</si>
  <si>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</si>
  <si>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</si>
  <si>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</si>
  <si>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</si>
  <si>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</si>
  <si>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</si>
  <si>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</si>
  <si>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</si>
  <si>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</si>
  <si>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</si>
  <si>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</si>
  <si>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</si>
  <si>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</si>
  <si>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</si>
  <si>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</si>
  <si>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</si>
  <si>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</si>
  <si>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</si>
  <si>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</si>
  <si>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</si>
  <si>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</si>
  <si>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</si>
  <si>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</si>
  <si>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</si>
  <si>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</si>
  <si>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</si>
  <si>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</si>
  <si>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</si>
  <si>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</si>
  <si>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</si>
  <si>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</si>
  <si>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</si>
  <si>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</si>
  <si>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</si>
  <si>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</si>
  <si>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</si>
  <si>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</si>
  <si>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</si>
  <si>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</si>
  <si>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</si>
  <si>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</si>
  <si>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</si>
  <si>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</si>
  <si>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</si>
  <si>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</si>
  <si>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</si>
  <si>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</si>
  <si>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</si>
  <si>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</si>
  <si>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</si>
  <si>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</si>
  <si>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</si>
  <si>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</si>
  <si>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</si>
  <si>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</si>
  <si>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</si>
  <si>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</si>
  <si>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</si>
  <si>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</si>
  <si>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</si>
  <si>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</si>
  <si>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</si>
  <si>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</si>
  <si>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</si>
  <si>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</si>
  <si>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</si>
  <si>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</si>
  <si>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</si>
  <si>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</si>
  <si>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</si>
  <si>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</si>
  <si>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</si>
  <si>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</si>
  <si>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</si>
  <si>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</si>
  <si>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</si>
  <si>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</si>
  <si>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</si>
  <si>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</si>
  <si>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</si>
  <si>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</si>
  <si>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</si>
  <si>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</si>
  <si>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</si>
  <si>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</si>
  <si>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</si>
  <si>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</si>
  <si>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</si>
  <si>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</si>
  <si>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</si>
  <si>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</si>
  <si>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</si>
  <si>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</si>
  <si>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</si>
  <si>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</si>
  <si>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</si>
  <si>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</si>
  <si>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</si>
  <si>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</si>
  <si>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</si>
  <si>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</si>
  <si>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</si>
  <si>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</si>
  <si>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</si>
  <si>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</si>
  <si>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</si>
  <si>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</si>
  <si>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</si>
  <si>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</si>
  <si>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</si>
  <si>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</si>
  <si>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</si>
  <si>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</si>
  <si>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</si>
  <si>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</si>
  <si>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</si>
  <si>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</si>
  <si>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</si>
  <si>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</si>
  <si>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</si>
  <si>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</si>
  <si>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</si>
  <si>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</si>
  <si>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</si>
  <si>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</si>
  <si>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</si>
  <si>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</si>
  <si>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</si>
  <si>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</si>
  <si>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</si>
  <si>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</si>
  <si>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</si>
  <si>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</si>
  <si>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</si>
  <si>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</si>
  <si>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</si>
  <si>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</si>
  <si>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</si>
  <si>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</si>
  <si>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</si>
  <si>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</si>
  <si>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</si>
  <si>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</si>
  <si>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</si>
  <si>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</si>
  <si>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</si>
  <si>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</si>
  <si>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</si>
  <si>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</si>
  <si>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</si>
  <si>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</si>
  <si>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</si>
  <si>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</si>
  <si>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</si>
  <si>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</si>
  <si>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</si>
  <si>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</si>
  <si>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</si>
  <si>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</si>
  <si>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</si>
  <si>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</si>
  <si>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</si>
  <si>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</si>
  <si>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</si>
  <si>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</si>
  <si>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</si>
  <si>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</si>
  <si>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</si>
  <si>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</si>
  <si>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</si>
  <si>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</si>
  <si>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</si>
  <si>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</si>
  <si>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</si>
  <si>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</si>
  <si>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</si>
  <si>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</si>
  <si>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</si>
  <si>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</si>
  <si>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</si>
  <si>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</si>
  <si>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</si>
  <si>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</si>
  <si>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</si>
  <si>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</si>
  <si>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</si>
  <si>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</si>
  <si>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</si>
  <si>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</si>
  <si>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</si>
  <si>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</si>
  <si>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</si>
  <si>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</si>
  <si>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</si>
  <si>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</si>
  <si>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</si>
  <si>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</si>
  <si>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</si>
  <si>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</si>
  <si>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</si>
  <si>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</si>
  <si>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</si>
  <si>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</si>
  <si>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</si>
  <si>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</si>
  <si>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</si>
  <si>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</si>
  <si>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</si>
  <si>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</si>
  <si>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</si>
  <si>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</si>
  <si>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</si>
  <si>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</si>
  <si>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</si>
  <si>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</si>
  <si>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</si>
  <si>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</si>
  <si>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</si>
  <si>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</si>
  <si>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</si>
  <si>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</si>
  <si>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</si>
  <si>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</si>
  <si>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</si>
  <si>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</si>
  <si>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</si>
  <si>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</si>
  <si>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</si>
  <si>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</si>
  <si>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</si>
  <si>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</si>
  <si>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</si>
  <si>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</si>
  <si>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</si>
  <si>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</si>
  <si>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</si>
  <si>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</si>
  <si>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</si>
  <si>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</si>
  <si>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</si>
  <si>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</si>
  <si>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</si>
  <si>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</si>
  <si>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</si>
  <si>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</si>
  <si>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</si>
  <si>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</si>
  <si>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</si>
  <si>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</si>
  <si>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</si>
  <si>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</si>
  <si>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</si>
  <si>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</si>
  <si>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</si>
  <si>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</si>
  <si>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</si>
  <si>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</si>
  <si>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</si>
  <si>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</si>
  <si>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</si>
  <si>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</si>
  <si>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</si>
  <si>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</si>
  <si>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</si>
  <si>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</si>
  <si>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</si>
  <si>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</si>
  <si>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</si>
  <si>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</si>
  <si>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</si>
  <si>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</si>
  <si>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</si>
  <si>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</si>
  <si>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</si>
  <si>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</si>
  <si>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</si>
  <si>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</si>
  <si>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</si>
  <si>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</si>
  <si>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</si>
  <si>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</si>
  <si>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</si>
  <si>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</si>
  <si>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</si>
  <si>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</si>
  <si>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</si>
  <si>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</si>
  <si>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</si>
  <si>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</si>
  <si>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</si>
  <si>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</si>
  <si>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</si>
  <si>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</si>
  <si>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</si>
  <si>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</si>
  <si>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</si>
  <si>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</si>
  <si>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</si>
  <si>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</si>
  <si>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</si>
  <si>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</si>
  <si>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</si>
  <si>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</si>
  <si>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</si>
  <si>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</si>
  <si>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</si>
  <si>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</si>
  <si>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</si>
  <si>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</si>
  <si>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</si>
  <si>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</si>
  <si>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</si>
  <si>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</si>
  <si>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</si>
  <si>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</si>
  <si>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</si>
  <si>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</si>
  <si>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</si>
  <si>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</si>
  <si>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</si>
  <si>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</si>
  <si>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</si>
  <si>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</si>
  <si>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</si>
  <si>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</si>
  <si>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</si>
  <si>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</si>
  <si>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</si>
  <si>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</si>
  <si>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</si>
  <si>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</si>
  <si>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</si>
  <si>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</si>
  <si>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</si>
  <si>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</si>
  <si>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</si>
  <si>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</si>
  <si>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</si>
  <si>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</si>
  <si>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</si>
  <si>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</si>
  <si>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</si>
  <si>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</si>
  <si>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</si>
  <si>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</si>
  <si>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</si>
  <si>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</si>
  <si>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</si>
  <si>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</si>
  <si>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</si>
  <si>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</si>
  <si>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</si>
  <si>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</si>
  <si>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</si>
  <si>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</si>
  <si>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</si>
  <si>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</si>
  <si>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</si>
  <si>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</si>
  <si>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</si>
  <si>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</si>
  <si>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</si>
  <si>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</si>
  <si>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</si>
  <si>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</si>
  <si>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</si>
  <si>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</si>
  <si>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</si>
  <si>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</si>
  <si>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</si>
  <si>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</si>
  <si>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</si>
  <si>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</si>
  <si>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</si>
  <si>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</si>
  <si>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</si>
  <si>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</si>
  <si>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</si>
  <si>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</si>
  <si>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</si>
  <si>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</si>
  <si>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</si>
  <si>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</si>
  <si>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</si>
  <si>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</si>
  <si>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</si>
  <si>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</si>
  <si>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</si>
  <si>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</si>
  <si>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</si>
  <si>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</si>
  <si>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</si>
  <si>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</si>
  <si>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</si>
  <si>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</si>
  <si>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</si>
  <si>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</si>
  <si>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</si>
  <si>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</si>
  <si>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</si>
  <si>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</si>
  <si>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</si>
  <si>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</si>
  <si>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</si>
  <si>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</si>
  <si>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</si>
  <si>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</si>
  <si>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</si>
  <si>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</si>
  <si>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</si>
  <si>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</si>
  <si>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</si>
  <si>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</si>
  <si>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</si>
  <si>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</si>
  <si>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</si>
  <si>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</si>
  <si>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</si>
  <si>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</si>
  <si>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</si>
  <si>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</si>
  <si>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</si>
  <si>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</si>
  <si>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</si>
  <si>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</si>
  <si>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</si>
  <si>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</si>
  <si>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</si>
  <si>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</si>
  <si>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</si>
  <si>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</si>
  <si>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</si>
  <si>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</si>
  <si>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</si>
  <si>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</si>
  <si>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</si>
  <si>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</si>
  <si>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</si>
  <si>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</si>
  <si>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</si>
  <si>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</si>
  <si>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</si>
  <si>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</si>
  <si>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</si>
  <si>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</si>
  <si>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</si>
  <si>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</si>
  <si>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</si>
  <si>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</si>
  <si>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</si>
  <si>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</si>
  <si>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</si>
  <si>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</si>
  <si>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</si>
  <si>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</si>
  <si>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</si>
  <si>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</si>
  <si>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</si>
  <si>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</si>
  <si>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</si>
  <si>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</si>
  <si>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</si>
  <si>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</si>
  <si>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</si>
  <si>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</si>
  <si>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</si>
  <si>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</si>
  <si>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</si>
  <si>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</si>
  <si>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</si>
  <si>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</si>
  <si>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</si>
  <si>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</si>
  <si>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</si>
  <si>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</si>
  <si>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</si>
  <si>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</si>
  <si>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</si>
  <si>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</si>
  <si>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</si>
  <si>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</si>
  <si>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</si>
  <si>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</si>
  <si>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</si>
  <si>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</si>
  <si>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</si>
  <si>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</si>
  <si>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</si>
  <si>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</si>
  <si>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</si>
  <si>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</si>
  <si>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</si>
  <si>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</si>
  <si>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</si>
  <si>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</si>
  <si>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</si>
  <si>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</si>
  <si>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</si>
  <si>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</si>
  <si>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</si>
  <si>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</si>
  <si>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</si>
  <si>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</si>
  <si>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</si>
  <si>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</si>
  <si>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</si>
  <si>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</si>
  <si>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</si>
  <si>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</si>
  <si>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</si>
  <si>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</si>
  <si>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</si>
  <si>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</si>
  <si>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</si>
  <si>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</si>
  <si>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</si>
  <si>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</si>
  <si>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</si>
  <si>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</si>
  <si>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</si>
  <si>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</si>
  <si>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</si>
  <si>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</si>
  <si>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</si>
  <si>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</si>
  <si>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</si>
  <si>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</si>
  <si>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</si>
  <si>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</si>
  <si>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</si>
  <si>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</si>
  <si>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</si>
  <si>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</si>
  <si>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</si>
  <si>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</si>
  <si>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</si>
  <si>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</si>
  <si>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</si>
  <si>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</si>
  <si>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</si>
  <si>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</si>
  <si>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</si>
  <si>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</si>
  <si>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01/11</t>
  </si>
  <si>
    <t>08/16</t>
  </si>
  <si>
    <t>WATERVILLE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</si>
</sst>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E2" sqref="E2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553</v>
      </c>
      <c r="C2" s="21">
        <v>553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17930.22</v>
      </c>
      <c r="G9" s="18">
        <v>-39.32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56218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39.32</v>
      </c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74148.22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4259.3100000000004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4259.3100000000004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60183.18</v>
      </c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9705.73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69888.91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0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74148.22</v>
      </c>
      <c r="G51" s="41">
        <f>G50+G32</f>
        <v>0</v>
      </c>
      <c r="H51" s="41">
        <f>H50+H32</f>
        <v>0</v>
      </c>
      <c r="I51" s="41">
        <f>I50+I32</f>
        <v>0</v>
      </c>
      <c r="J51" s="41">
        <f>J50+J32</f>
        <v>0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115397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115397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13000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13000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55.13</v>
      </c>
      <c r="G95" s="18"/>
      <c r="H95" s="18"/>
      <c r="I95" s="18"/>
      <c r="J95" s="18"/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961.95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25.6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80.73</v>
      </c>
      <c r="G110" s="41">
        <f>SUM(G95:G109)</f>
        <v>961.95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128477.73</v>
      </c>
      <c r="G111" s="41">
        <f>G59+G110</f>
        <v>961.95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865821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865821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28397.4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28397.4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894218.4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877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257.72000000000003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16286.71</v>
      </c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257.72000000000003</v>
      </c>
      <c r="H161" s="41">
        <f>SUM(H149:H160)</f>
        <v>17163.71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26043.11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26043.11</v>
      </c>
      <c r="G168" s="41">
        <f>G146+G161+SUM(G162:G167)</f>
        <v>257.72000000000003</v>
      </c>
      <c r="H168" s="41">
        <f>H146+H161+SUM(H162:H167)</f>
        <v>17163.71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511.46</v>
      </c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511.46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511.46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1048739.24</v>
      </c>
      <c r="G192" s="47">
        <f>G111+G139+G168+G191</f>
        <v>1731.13</v>
      </c>
      <c r="H192" s="47">
        <f>H111+H139+H168+H191</f>
        <v>17163.71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233568.4</v>
      </c>
      <c r="G196" s="18">
        <v>96930.14</v>
      </c>
      <c r="H196" s="18">
        <v>11467</v>
      </c>
      <c r="I196" s="18">
        <v>12189.96</v>
      </c>
      <c r="J196" s="18">
        <v>10450.89</v>
      </c>
      <c r="K196" s="18">
        <v>200</v>
      </c>
      <c r="L196" s="19">
        <f>SUM(F196:K196)</f>
        <v>364806.39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24305.58</v>
      </c>
      <c r="G197" s="18">
        <v>4773.33</v>
      </c>
      <c r="H197" s="18">
        <v>6032.86</v>
      </c>
      <c r="I197" s="18">
        <v>485.1</v>
      </c>
      <c r="J197" s="18">
        <v>119</v>
      </c>
      <c r="K197" s="18">
        <v>204</v>
      </c>
      <c r="L197" s="19">
        <f>SUM(F197:K197)</f>
        <v>35919.870000000003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1050</v>
      </c>
      <c r="G199" s="18"/>
      <c r="H199" s="18"/>
      <c r="I199" s="18">
        <v>2385.41</v>
      </c>
      <c r="J199" s="18"/>
      <c r="K199" s="18"/>
      <c r="L199" s="19">
        <f>SUM(F199:K199)</f>
        <v>3435.41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7952</v>
      </c>
      <c r="G201" s="18">
        <v>715.79</v>
      </c>
      <c r="H201" s="18">
        <v>11550.36</v>
      </c>
      <c r="I201" s="18">
        <v>1289.78</v>
      </c>
      <c r="J201" s="18"/>
      <c r="K201" s="18">
        <v>100</v>
      </c>
      <c r="L201" s="19">
        <f t="shared" ref="L201:L207" si="0">SUM(F201:K201)</f>
        <v>21607.93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5564.32</v>
      </c>
      <c r="G202" s="18">
        <v>8753.4599999999991</v>
      </c>
      <c r="H202" s="18"/>
      <c r="I202" s="18">
        <v>5720.03</v>
      </c>
      <c r="J202" s="18"/>
      <c r="K202" s="18"/>
      <c r="L202" s="19">
        <f t="shared" si="0"/>
        <v>20037.809999999998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2000</v>
      </c>
      <c r="G203" s="18">
        <v>153</v>
      </c>
      <c r="H203" s="18">
        <v>87111.88</v>
      </c>
      <c r="I203" s="18">
        <v>562.19000000000005</v>
      </c>
      <c r="J203" s="18"/>
      <c r="K203" s="18">
        <v>2306.59</v>
      </c>
      <c r="L203" s="19">
        <f t="shared" si="0"/>
        <v>92133.66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112461.81</v>
      </c>
      <c r="G204" s="18">
        <v>65415.68</v>
      </c>
      <c r="H204" s="18">
        <v>1169.57</v>
      </c>
      <c r="I204" s="18">
        <v>1519.9</v>
      </c>
      <c r="J204" s="18"/>
      <c r="K204" s="18">
        <v>934</v>
      </c>
      <c r="L204" s="19">
        <f t="shared" si="0"/>
        <v>181500.96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>
        <v>14.87</v>
      </c>
      <c r="L205" s="19">
        <f t="shared" si="0"/>
        <v>14.87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1689.03</v>
      </c>
      <c r="G206" s="18">
        <v>123.24</v>
      </c>
      <c r="H206" s="18">
        <v>68364.91</v>
      </c>
      <c r="I206" s="18">
        <v>37174.720000000001</v>
      </c>
      <c r="J206" s="18">
        <v>1463.47</v>
      </c>
      <c r="K206" s="18"/>
      <c r="L206" s="19">
        <f t="shared" si="0"/>
        <v>108815.37000000001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1521.29</v>
      </c>
      <c r="I207" s="18"/>
      <c r="J207" s="18"/>
      <c r="K207" s="18"/>
      <c r="L207" s="19">
        <f t="shared" si="0"/>
        <v>1521.29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388591.14</v>
      </c>
      <c r="G210" s="41">
        <f t="shared" si="1"/>
        <v>176864.63999999998</v>
      </c>
      <c r="H210" s="41">
        <f t="shared" si="1"/>
        <v>187217.87000000002</v>
      </c>
      <c r="I210" s="41">
        <f t="shared" si="1"/>
        <v>61327.09</v>
      </c>
      <c r="J210" s="41">
        <f t="shared" si="1"/>
        <v>12033.359999999999</v>
      </c>
      <c r="K210" s="41">
        <f t="shared" si="1"/>
        <v>3759.46</v>
      </c>
      <c r="L210" s="41">
        <f t="shared" si="1"/>
        <v>829793.55999999994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91114.74</v>
      </c>
      <c r="I232" s="18"/>
      <c r="J232" s="18"/>
      <c r="K232" s="18"/>
      <c r="L232" s="19">
        <f>SUM(F232:K232)</f>
        <v>91114.74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17245.8</v>
      </c>
      <c r="I233" s="18"/>
      <c r="J233" s="18"/>
      <c r="K233" s="18"/>
      <c r="L233" s="19">
        <f>SUM(F233:K233)</f>
        <v>17245.8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108360.54000000001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108360.54000000001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388591.14</v>
      </c>
      <c r="G256" s="41">
        <f t="shared" si="8"/>
        <v>176864.63999999998</v>
      </c>
      <c r="H256" s="41">
        <f t="shared" si="8"/>
        <v>295578.41000000003</v>
      </c>
      <c r="I256" s="41">
        <f t="shared" si="8"/>
        <v>61327.09</v>
      </c>
      <c r="J256" s="41">
        <f t="shared" si="8"/>
        <v>12033.359999999999</v>
      </c>
      <c r="K256" s="41">
        <f t="shared" si="8"/>
        <v>3759.46</v>
      </c>
      <c r="L256" s="41">
        <f t="shared" si="8"/>
        <v>938154.1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169658</v>
      </c>
      <c r="L259" s="19">
        <f>SUM(F259:K259)</f>
        <v>169658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9708.0400000000009</v>
      </c>
      <c r="L260" s="19">
        <f>SUM(F260:K260)</f>
        <v>9708.0400000000009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511.46</v>
      </c>
      <c r="L262" s="19">
        <f>SUM(F262:K262)</f>
        <v>511.46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179877.5</v>
      </c>
      <c r="L269" s="41">
        <f t="shared" si="9"/>
        <v>179877.5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388591.14</v>
      </c>
      <c r="G270" s="42">
        <f t="shared" si="11"/>
        <v>176864.63999999998</v>
      </c>
      <c r="H270" s="42">
        <f t="shared" si="11"/>
        <v>295578.41000000003</v>
      </c>
      <c r="I270" s="42">
        <f t="shared" si="11"/>
        <v>61327.09</v>
      </c>
      <c r="J270" s="42">
        <f t="shared" si="11"/>
        <v>12033.359999999999</v>
      </c>
      <c r="K270" s="42">
        <f t="shared" si="11"/>
        <v>183636.96</v>
      </c>
      <c r="L270" s="42">
        <f t="shared" si="11"/>
        <v>1118031.6000000001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>
        <v>2868.42</v>
      </c>
      <c r="I275" s="18"/>
      <c r="J275" s="18">
        <v>4805</v>
      </c>
      <c r="K275" s="18"/>
      <c r="L275" s="19">
        <f>SUM(F275:K275)</f>
        <v>7673.42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v>6541.08</v>
      </c>
      <c r="I281" s="18"/>
      <c r="J281" s="18">
        <v>2916.29</v>
      </c>
      <c r="K281" s="18"/>
      <c r="L281" s="19">
        <f t="shared" si="12"/>
        <v>9457.369999999999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32.92</v>
      </c>
      <c r="L284" s="19">
        <f t="shared" si="12"/>
        <v>32.92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9409.5</v>
      </c>
      <c r="I289" s="42">
        <f t="shared" si="13"/>
        <v>0</v>
      </c>
      <c r="J289" s="42">
        <f t="shared" si="13"/>
        <v>7721.29</v>
      </c>
      <c r="K289" s="42">
        <f t="shared" si="13"/>
        <v>32.92</v>
      </c>
      <c r="L289" s="41">
        <f t="shared" si="13"/>
        <v>17163.71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0</v>
      </c>
      <c r="G337" s="41">
        <f t="shared" si="20"/>
        <v>0</v>
      </c>
      <c r="H337" s="41">
        <f t="shared" si="20"/>
        <v>9409.5</v>
      </c>
      <c r="I337" s="41">
        <f t="shared" si="20"/>
        <v>0</v>
      </c>
      <c r="J337" s="41">
        <f t="shared" si="20"/>
        <v>7721.29</v>
      </c>
      <c r="K337" s="41">
        <f t="shared" si="20"/>
        <v>32.92</v>
      </c>
      <c r="L337" s="41">
        <f t="shared" si="20"/>
        <v>17163.71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0</v>
      </c>
      <c r="G351" s="41">
        <f>G337</f>
        <v>0</v>
      </c>
      <c r="H351" s="41">
        <f>H337</f>
        <v>9409.5</v>
      </c>
      <c r="I351" s="41">
        <f>I337</f>
        <v>0</v>
      </c>
      <c r="J351" s="41">
        <f>J337</f>
        <v>7721.29</v>
      </c>
      <c r="K351" s="47">
        <f>K337+K350</f>
        <v>32.92</v>
      </c>
      <c r="L351" s="41">
        <f>L337+L350</f>
        <v>17163.71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/>
      <c r="I357" s="18">
        <v>1731.13</v>
      </c>
      <c r="J357" s="18"/>
      <c r="K357" s="18"/>
      <c r="L357" s="13">
        <f>SUM(F357:K357)</f>
        <v>1731.13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0</v>
      </c>
      <c r="I361" s="47">
        <f t="shared" si="22"/>
        <v>1731.13</v>
      </c>
      <c r="J361" s="47">
        <f t="shared" si="22"/>
        <v>0</v>
      </c>
      <c r="K361" s="47">
        <f t="shared" si="22"/>
        <v>0</v>
      </c>
      <c r="L361" s="47">
        <f t="shared" si="22"/>
        <v>1731.13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>
        <v>1693.84</v>
      </c>
      <c r="I366" s="56">
        <f>SUM(F366:H366)</f>
        <v>1693.84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>
        <v>37.29</v>
      </c>
      <c r="I367" s="56">
        <f>SUM(F367:H367)</f>
        <v>37.29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1731.1299999999999</v>
      </c>
      <c r="I368" s="47">
        <f>SUM(I366:I367)</f>
        <v>1731.1299999999999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0</v>
      </c>
      <c r="I445" s="13">
        <f>SUM(I438:I444)</f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0</v>
      </c>
      <c r="I459" s="83">
        <f>SUM(I453:I458)</f>
        <v>0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0</v>
      </c>
      <c r="I460" s="42">
        <f>I451+I459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139181.26999999999</v>
      </c>
      <c r="G464" s="18"/>
      <c r="H464" s="18"/>
      <c r="I464" s="18"/>
      <c r="J464" s="18"/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1048739.24</v>
      </c>
      <c r="G467" s="18">
        <v>1731.13</v>
      </c>
      <c r="H467" s="18">
        <v>17163.71</v>
      </c>
      <c r="I467" s="18"/>
      <c r="J467" s="18"/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1048739.24</v>
      </c>
      <c r="G469" s="53">
        <f>SUM(G467:G468)</f>
        <v>1731.13</v>
      </c>
      <c r="H469" s="53">
        <f>SUM(H467:H468)</f>
        <v>17163.71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1118031.6000000001</v>
      </c>
      <c r="G471" s="18">
        <v>1731.13</v>
      </c>
      <c r="H471" s="18">
        <v>17163.71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1118031.6000000001</v>
      </c>
      <c r="G473" s="53">
        <f>SUM(G471:G472)</f>
        <v>1731.13</v>
      </c>
      <c r="H473" s="53">
        <f>SUM(H471:H472)</f>
        <v>17163.71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69888.909999999916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0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7</v>
      </c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388105.5</v>
      </c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2.97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313105.5</v>
      </c>
      <c r="G494" s="18"/>
      <c r="H494" s="18"/>
      <c r="I494" s="18"/>
      <c r="J494" s="18"/>
      <c r="K494" s="53">
        <f>SUM(F494:J494)</f>
        <v>313105.5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75000</v>
      </c>
      <c r="G496" s="18"/>
      <c r="H496" s="18"/>
      <c r="I496" s="18"/>
      <c r="J496" s="18"/>
      <c r="K496" s="53">
        <f t="shared" si="35"/>
        <v>75000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v>238105.5</v>
      </c>
      <c r="G497" s="204"/>
      <c r="H497" s="204"/>
      <c r="I497" s="204"/>
      <c r="J497" s="204"/>
      <c r="K497" s="205">
        <f t="shared" si="35"/>
        <v>238105.5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11358.05</v>
      </c>
      <c r="G498" s="18"/>
      <c r="H498" s="18"/>
      <c r="I498" s="18"/>
      <c r="J498" s="18"/>
      <c r="K498" s="53">
        <f t="shared" si="35"/>
        <v>11358.05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249463.55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249463.55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75000</v>
      </c>
      <c r="G500" s="204"/>
      <c r="H500" s="204"/>
      <c r="I500" s="204"/>
      <c r="J500" s="204"/>
      <c r="K500" s="205">
        <f t="shared" si="35"/>
        <v>75000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5948.81</v>
      </c>
      <c r="G501" s="18"/>
      <c r="H501" s="18"/>
      <c r="I501" s="18"/>
      <c r="J501" s="18"/>
      <c r="K501" s="53">
        <f t="shared" si="35"/>
        <v>5948.81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80948.81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80948.81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24305.58</v>
      </c>
      <c r="G520" s="18">
        <v>4773.33</v>
      </c>
      <c r="H520" s="18">
        <v>6032.86</v>
      </c>
      <c r="I520" s="18">
        <v>485.1</v>
      </c>
      <c r="J520" s="18">
        <v>119</v>
      </c>
      <c r="K520" s="18">
        <v>204</v>
      </c>
      <c r="L520" s="88">
        <f>SUM(F520:K520)</f>
        <v>35919.870000000003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17245.8</v>
      </c>
      <c r="I522" s="18"/>
      <c r="J522" s="18"/>
      <c r="K522" s="18"/>
      <c r="L522" s="88">
        <f>SUM(F522:K522)</f>
        <v>17245.8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24305.58</v>
      </c>
      <c r="G523" s="108">
        <f t="shared" ref="G523:L523" si="36">SUM(G520:G522)</f>
        <v>4773.33</v>
      </c>
      <c r="H523" s="108">
        <f t="shared" si="36"/>
        <v>23278.66</v>
      </c>
      <c r="I523" s="108">
        <f t="shared" si="36"/>
        <v>485.1</v>
      </c>
      <c r="J523" s="108">
        <f t="shared" si="36"/>
        <v>119</v>
      </c>
      <c r="K523" s="108">
        <f t="shared" si="36"/>
        <v>204</v>
      </c>
      <c r="L523" s="89">
        <f t="shared" si="36"/>
        <v>53165.67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1590.4</v>
      </c>
      <c r="G525" s="18">
        <v>143.16</v>
      </c>
      <c r="H525" s="18">
        <v>11550.36</v>
      </c>
      <c r="I525" s="18">
        <v>257.95999999999998</v>
      </c>
      <c r="J525" s="18"/>
      <c r="K525" s="18">
        <v>20</v>
      </c>
      <c r="L525" s="88">
        <f>SUM(F525:K525)</f>
        <v>13561.88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1590.4</v>
      </c>
      <c r="G528" s="89">
        <f t="shared" ref="G528:L528" si="37">SUM(G525:G527)</f>
        <v>143.16</v>
      </c>
      <c r="H528" s="89">
        <f t="shared" si="37"/>
        <v>11550.36</v>
      </c>
      <c r="I528" s="89">
        <f t="shared" si="37"/>
        <v>257.95999999999998</v>
      </c>
      <c r="J528" s="89">
        <f t="shared" si="37"/>
        <v>0</v>
      </c>
      <c r="K528" s="89">
        <f t="shared" si="37"/>
        <v>20</v>
      </c>
      <c r="L528" s="89">
        <f t="shared" si="37"/>
        <v>13561.88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6670.85</v>
      </c>
      <c r="G530" s="18">
        <v>2879.29</v>
      </c>
      <c r="H530" s="18">
        <v>102</v>
      </c>
      <c r="I530" s="18"/>
      <c r="J530" s="18"/>
      <c r="K530" s="18"/>
      <c r="L530" s="88">
        <f>SUM(F530:K530)</f>
        <v>9652.14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6670.85</v>
      </c>
      <c r="G533" s="89">
        <f t="shared" ref="G533:L533" si="38">SUM(G530:G532)</f>
        <v>2879.29</v>
      </c>
      <c r="H533" s="89">
        <f t="shared" si="38"/>
        <v>102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9652.14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0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32566.83</v>
      </c>
      <c r="G544" s="89">
        <f t="shared" ref="G544:L544" si="41">G523+G528+G533+G538+G543</f>
        <v>7795.78</v>
      </c>
      <c r="H544" s="89">
        <f t="shared" si="41"/>
        <v>34931.020000000004</v>
      </c>
      <c r="I544" s="89">
        <f t="shared" si="41"/>
        <v>743.06</v>
      </c>
      <c r="J544" s="89">
        <f t="shared" si="41"/>
        <v>119</v>
      </c>
      <c r="K544" s="89">
        <f t="shared" si="41"/>
        <v>224</v>
      </c>
      <c r="L544" s="89">
        <f t="shared" si="41"/>
        <v>76379.69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35919.870000000003</v>
      </c>
      <c r="G548" s="87">
        <f>L525</f>
        <v>13561.88</v>
      </c>
      <c r="H548" s="87">
        <f>L530</f>
        <v>9652.14</v>
      </c>
      <c r="I548" s="87">
        <f>L535</f>
        <v>0</v>
      </c>
      <c r="J548" s="87">
        <f>L540</f>
        <v>0</v>
      </c>
      <c r="K548" s="87">
        <f>SUM(F548:J548)</f>
        <v>59133.89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17245.8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17245.8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53165.67</v>
      </c>
      <c r="G551" s="89">
        <f t="shared" si="42"/>
        <v>13561.88</v>
      </c>
      <c r="H551" s="89">
        <f t="shared" si="42"/>
        <v>9652.14</v>
      </c>
      <c r="I551" s="89">
        <f t="shared" si="42"/>
        <v>0</v>
      </c>
      <c r="J551" s="89">
        <f t="shared" si="42"/>
        <v>0</v>
      </c>
      <c r="K551" s="89">
        <f t="shared" si="42"/>
        <v>76379.69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91114.74</v>
      </c>
      <c r="I574" s="87">
        <f>SUM(F574:H574)</f>
        <v>91114.74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17245.8</v>
      </c>
      <c r="I578" s="87">
        <f t="shared" si="47"/>
        <v>17245.8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755.94</v>
      </c>
      <c r="I590" s="18"/>
      <c r="J590" s="18"/>
      <c r="K590" s="104">
        <f t="shared" ref="K590:K596" si="48">SUM(H590:J590)</f>
        <v>755.94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765.35</v>
      </c>
      <c r="I594" s="18"/>
      <c r="J594" s="18"/>
      <c r="K594" s="104">
        <f t="shared" si="48"/>
        <v>765.35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1521.29</v>
      </c>
      <c r="I597" s="108">
        <f>SUM(I590:I596)</f>
        <v>0</v>
      </c>
      <c r="J597" s="108">
        <f>SUM(J590:J596)</f>
        <v>0</v>
      </c>
      <c r="K597" s="108">
        <f>SUM(K590:K596)</f>
        <v>1521.29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19754.650000000001</v>
      </c>
      <c r="I603" s="18"/>
      <c r="J603" s="18"/>
      <c r="K603" s="104">
        <f>SUM(H603:J603)</f>
        <v>19754.650000000001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19754.650000000001</v>
      </c>
      <c r="I604" s="108">
        <f>SUM(I601:I603)</f>
        <v>0</v>
      </c>
      <c r="J604" s="108">
        <f>SUM(J601:J603)</f>
        <v>0</v>
      </c>
      <c r="K604" s="108">
        <f>SUM(K601:K603)</f>
        <v>19754.650000000001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500</v>
      </c>
      <c r="G610" s="18">
        <v>38.25</v>
      </c>
      <c r="H610" s="18"/>
      <c r="I610" s="18"/>
      <c r="J610" s="18"/>
      <c r="K610" s="18"/>
      <c r="L610" s="88">
        <f>SUM(F610:K610)</f>
        <v>538.25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500</v>
      </c>
      <c r="G613" s="108">
        <f t="shared" si="49"/>
        <v>38.25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538.25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74148.22</v>
      </c>
      <c r="H616" s="109">
        <f>SUM(F51)</f>
        <v>74148.22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0</v>
      </c>
      <c r="H617" s="109">
        <f>SUM(G51)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0</v>
      </c>
      <c r="H618" s="109">
        <f>SUM(H51)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0</v>
      </c>
      <c r="H620" s="109">
        <f>SUM(J51)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69888.91</v>
      </c>
      <c r="H621" s="109">
        <f>F475</f>
        <v>69888.909999999916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0</v>
      </c>
      <c r="H625" s="109">
        <f>J475</f>
        <v>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1048739.24</v>
      </c>
      <c r="H626" s="104">
        <f>SUM(F467)</f>
        <v>1048739.24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1731.13</v>
      </c>
      <c r="H627" s="104">
        <f>SUM(G467)</f>
        <v>1731.13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17163.71</v>
      </c>
      <c r="H628" s="104">
        <f>SUM(H467)</f>
        <v>17163.71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1118031.6000000001</v>
      </c>
      <c r="H631" s="104">
        <f>SUM(F471)</f>
        <v>1118031.6000000001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17163.71</v>
      </c>
      <c r="H632" s="104">
        <f>SUM(H471)</f>
        <v>17163.71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1731.13</v>
      </c>
      <c r="H633" s="104">
        <f>I368</f>
        <v>1731.1299999999999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1731.13</v>
      </c>
      <c r="H634" s="104">
        <f>SUM(G471)</f>
        <v>1731.13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0</v>
      </c>
      <c r="H641" s="104">
        <f>SUM(I460)</f>
        <v>0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1521.29</v>
      </c>
      <c r="H646" s="104">
        <f>L207+L225+L243</f>
        <v>1521.29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19754.650000000001</v>
      </c>
      <c r="H647" s="104">
        <f>(J256+J337)-(J254+J335)</f>
        <v>19754.649999999998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1521.29</v>
      </c>
      <c r="H648" s="104">
        <f>H597</f>
        <v>1521.29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0</v>
      </c>
      <c r="H650" s="104">
        <f>J597</f>
        <v>0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511.46</v>
      </c>
      <c r="H651" s="104">
        <f>K262+K344</f>
        <v>511.46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848688.39999999991</v>
      </c>
      <c r="G659" s="19">
        <f>(L228+L308+L358)</f>
        <v>0</v>
      </c>
      <c r="H659" s="19">
        <f>(L246+L327+L359)</f>
        <v>108360.54000000001</v>
      </c>
      <c r="I659" s="19">
        <f>SUM(F659:H659)</f>
        <v>957048.94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961.95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961.95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1521.29</v>
      </c>
      <c r="G661" s="19">
        <f>(L225+L305)-(J225+J305)</f>
        <v>0</v>
      </c>
      <c r="H661" s="19">
        <f>(L243+L324)-(J243+J324)</f>
        <v>0</v>
      </c>
      <c r="I661" s="19">
        <f>SUM(F661:H661)</f>
        <v>1521.29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20292.900000000001</v>
      </c>
      <c r="G662" s="199">
        <f>SUM(G574:G586)+SUM(I601:I603)+L611</f>
        <v>0</v>
      </c>
      <c r="H662" s="199">
        <f>SUM(H574:H586)+SUM(J601:J603)+L612</f>
        <v>108360.54000000001</v>
      </c>
      <c r="I662" s="19">
        <f>SUM(F662:H662)</f>
        <v>128653.44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825912.25999999989</v>
      </c>
      <c r="G663" s="19">
        <f>G659-SUM(G660:G662)</f>
        <v>0</v>
      </c>
      <c r="H663" s="19">
        <f>H659-SUM(H660:H662)</f>
        <v>0</v>
      </c>
      <c r="I663" s="19">
        <f>I659-SUM(I660:I662)</f>
        <v>825912.26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30.27</v>
      </c>
      <c r="G664" s="248"/>
      <c r="H664" s="248"/>
      <c r="I664" s="19">
        <f>SUM(F664:H664)</f>
        <v>30.27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27284.85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27284.85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27284.85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27284.85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>&amp;CDOE 25 for 2012-2013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WATERVILLE VALLEY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233568.4</v>
      </c>
      <c r="C9" s="229">
        <f>'DOE25'!G196+'DOE25'!G214+'DOE25'!G232+'DOE25'!G275+'DOE25'!G294+'DOE25'!G313</f>
        <v>96930.14</v>
      </c>
    </row>
    <row r="10" spans="1:3" x14ac:dyDescent="0.2">
      <c r="A10" t="s">
        <v>779</v>
      </c>
      <c r="B10" s="240">
        <v>219833.9</v>
      </c>
      <c r="C10" s="240">
        <v>95873.58</v>
      </c>
    </row>
    <row r="11" spans="1:3" x14ac:dyDescent="0.2">
      <c r="A11" t="s">
        <v>780</v>
      </c>
      <c r="B11" s="240">
        <v>10244</v>
      </c>
      <c r="C11" s="240">
        <v>272.89999999999998</v>
      </c>
    </row>
    <row r="12" spans="1:3" x14ac:dyDescent="0.2">
      <c r="A12" t="s">
        <v>781</v>
      </c>
      <c r="B12" s="240">
        <v>3490.5</v>
      </c>
      <c r="C12" s="240">
        <v>783.66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233568.4</v>
      </c>
      <c r="C13" s="231">
        <f>SUM(C10:C12)</f>
        <v>96930.14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24305.58</v>
      </c>
      <c r="C18" s="229">
        <f>'DOE25'!G197+'DOE25'!G215+'DOE25'!G233+'DOE25'!G276+'DOE25'!G295+'DOE25'!G314</f>
        <v>4773.33</v>
      </c>
    </row>
    <row r="19" spans="1:3" x14ac:dyDescent="0.2">
      <c r="A19" t="s">
        <v>779</v>
      </c>
      <c r="B19" s="240">
        <v>23665.58</v>
      </c>
      <c r="C19" s="240">
        <v>4735.08</v>
      </c>
    </row>
    <row r="20" spans="1:3" x14ac:dyDescent="0.2">
      <c r="A20" t="s">
        <v>780</v>
      </c>
      <c r="B20" s="240">
        <v>0</v>
      </c>
      <c r="C20" s="240">
        <v>0</v>
      </c>
    </row>
    <row r="21" spans="1:3" x14ac:dyDescent="0.2">
      <c r="A21" t="s">
        <v>781</v>
      </c>
      <c r="B21" s="240">
        <v>640</v>
      </c>
      <c r="C21" s="240">
        <v>38.25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24305.58</v>
      </c>
      <c r="C22" s="231">
        <f>SUM(C19:C21)</f>
        <v>4773.33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1050</v>
      </c>
      <c r="C36" s="235">
        <f>'DOE25'!G199+'DOE25'!G217+'DOE25'!G235+'DOE25'!G278+'DOE25'!G297+'DOE25'!G316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1050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1050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WATERVILLE VALLEY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512522.20999999996</v>
      </c>
      <c r="D5" s="20">
        <f>SUM('DOE25'!L196:L199)+SUM('DOE25'!L214:L217)+SUM('DOE25'!L232:L235)-F5-G5</f>
        <v>501548.31999999995</v>
      </c>
      <c r="E5" s="243"/>
      <c r="F5" s="255">
        <f>SUM('DOE25'!J196:J199)+SUM('DOE25'!J214:J217)+SUM('DOE25'!J232:J235)</f>
        <v>10569.89</v>
      </c>
      <c r="G5" s="53">
        <f>SUM('DOE25'!K196:K199)+SUM('DOE25'!K214:K217)+SUM('DOE25'!K232:K235)</f>
        <v>404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21607.93</v>
      </c>
      <c r="D6" s="20">
        <f>'DOE25'!L201+'DOE25'!L219+'DOE25'!L237-F6-G6</f>
        <v>21507.93</v>
      </c>
      <c r="E6" s="243"/>
      <c r="F6" s="255">
        <f>'DOE25'!J201+'DOE25'!J219+'DOE25'!J237</f>
        <v>0</v>
      </c>
      <c r="G6" s="53">
        <f>'DOE25'!K201+'DOE25'!K219+'DOE25'!K237</f>
        <v>100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20037.809999999998</v>
      </c>
      <c r="D7" s="20">
        <f>'DOE25'!L202+'DOE25'!L220+'DOE25'!L238-F7-G7</f>
        <v>20037.809999999998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48134.25</v>
      </c>
      <c r="D8" s="243"/>
      <c r="E8" s="20">
        <f>'DOE25'!L203+'DOE25'!L221+'DOE25'!L239-F8-G8-D9-D11</f>
        <v>45827.659999999996</v>
      </c>
      <c r="F8" s="255">
        <f>'DOE25'!J203+'DOE25'!J221+'DOE25'!J239</f>
        <v>0</v>
      </c>
      <c r="G8" s="53">
        <f>'DOE25'!K203+'DOE25'!K221+'DOE25'!K239</f>
        <v>2306.59</v>
      </c>
      <c r="H8" s="259"/>
    </row>
    <row r="9" spans="1:9" x14ac:dyDescent="0.2">
      <c r="A9" s="32">
        <v>2310</v>
      </c>
      <c r="B9" t="s">
        <v>818</v>
      </c>
      <c r="C9" s="245">
        <f t="shared" si="0"/>
        <v>11115.04</v>
      </c>
      <c r="D9" s="244">
        <v>11115.04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4000</v>
      </c>
      <c r="D10" s="243"/>
      <c r="E10" s="244">
        <v>4000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32884.370000000003</v>
      </c>
      <c r="D11" s="244">
        <v>32884.370000000003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181500.96</v>
      </c>
      <c r="D12" s="20">
        <f>'DOE25'!L204+'DOE25'!L222+'DOE25'!L240-F12-G12</f>
        <v>180566.96</v>
      </c>
      <c r="E12" s="243"/>
      <c r="F12" s="255">
        <f>'DOE25'!J204+'DOE25'!J222+'DOE25'!J240</f>
        <v>0</v>
      </c>
      <c r="G12" s="53">
        <f>'DOE25'!K204+'DOE25'!K222+'DOE25'!K240</f>
        <v>934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14.87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14.87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108815.37000000001</v>
      </c>
      <c r="D14" s="20">
        <f>'DOE25'!L206+'DOE25'!L224+'DOE25'!L242-F14-G14</f>
        <v>107351.90000000001</v>
      </c>
      <c r="E14" s="243"/>
      <c r="F14" s="255">
        <f>'DOE25'!J206+'DOE25'!J224+'DOE25'!J242</f>
        <v>1463.47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1521.29</v>
      </c>
      <c r="D15" s="20">
        <f>'DOE25'!L207+'DOE25'!L225+'DOE25'!L243-F15-G15</f>
        <v>1521.29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'DOE25'!L254+'DOE25'!L335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179366.04</v>
      </c>
      <c r="D25" s="243"/>
      <c r="E25" s="243"/>
      <c r="F25" s="258"/>
      <c r="G25" s="256"/>
      <c r="H25" s="257">
        <f>'DOE25'!L259+'DOE25'!L260+'DOE25'!L340+'DOE25'!L341</f>
        <v>179366.04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37.290000000000191</v>
      </c>
      <c r="D29" s="20">
        <f>'DOE25'!L357+'DOE25'!L358+'DOE25'!L359-'DOE25'!I366-F29-G29</f>
        <v>37.290000000000191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17163.709999999995</v>
      </c>
      <c r="D31" s="20">
        <f>'DOE25'!L289+'DOE25'!L308+'DOE25'!L327+'DOE25'!L332+'DOE25'!L333+'DOE25'!L334-F31-G31</f>
        <v>9409.4999999999982</v>
      </c>
      <c r="E31" s="243"/>
      <c r="F31" s="255">
        <f>'DOE25'!J289+'DOE25'!J308+'DOE25'!J327+'DOE25'!J332+'DOE25'!J333+'DOE25'!J334</f>
        <v>7721.29</v>
      </c>
      <c r="G31" s="53">
        <f>'DOE25'!K289+'DOE25'!K308+'DOE25'!K327+'DOE25'!K332+'DOE25'!K333+'DOE25'!K334</f>
        <v>32.92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885980.41</v>
      </c>
      <c r="E33" s="246">
        <f>SUM(E5:E31)</f>
        <v>49827.659999999996</v>
      </c>
      <c r="F33" s="246">
        <f>SUM(F5:F31)</f>
        <v>19754.649999999998</v>
      </c>
      <c r="G33" s="246">
        <f>SUM(G5:G31)</f>
        <v>3792.38</v>
      </c>
      <c r="H33" s="246">
        <f>SUM(H5:H31)</f>
        <v>179366.04</v>
      </c>
    </row>
    <row r="35" spans="2:8" ht="12" thickBot="1" x14ac:dyDescent="0.25">
      <c r="B35" s="253" t="s">
        <v>847</v>
      </c>
      <c r="D35" s="254">
        <f>E33</f>
        <v>49827.659999999996</v>
      </c>
      <c r="E35" s="249"/>
    </row>
    <row r="36" spans="2:8" ht="12" thickTop="1" x14ac:dyDescent="0.2">
      <c r="B36" t="s">
        <v>815</v>
      </c>
      <c r="D36" s="20">
        <f>D33</f>
        <v>885980.41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WATERVILLE VALLEY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17930.22</v>
      </c>
      <c r="D8" s="95">
        <f>'DOE25'!G9</f>
        <v>-39.32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56218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39.32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74148.22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4259.3100000000004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4259.3100000000004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60183.18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9705.73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69888.91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0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74148.22</v>
      </c>
      <c r="D50" s="41">
        <f>D49+D31</f>
        <v>0</v>
      </c>
      <c r="E50" s="41">
        <f>E49+E31</f>
        <v>0</v>
      </c>
      <c r="F50" s="41">
        <f>F49+F31</f>
        <v>0</v>
      </c>
      <c r="G50" s="41">
        <f>G49+G31</f>
        <v>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115397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13000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55.13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961.95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25.6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13080.73</v>
      </c>
      <c r="D61" s="130">
        <f>SUM(D56:D60)</f>
        <v>961.95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128477.73</v>
      </c>
      <c r="D62" s="22">
        <f>D55+D61</f>
        <v>961.95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865821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865821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28397.4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28397.4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894218.4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257.72000000000003</v>
      </c>
      <c r="E87" s="95">
        <f>SUM('DOE25'!H152:H160)</f>
        <v>17163.71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26043.11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26043.11</v>
      </c>
      <c r="D90" s="131">
        <f>SUM(D84:D89)</f>
        <v>257.72000000000003</v>
      </c>
      <c r="E90" s="131">
        <f>SUM(E84:E89)</f>
        <v>17163.71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511.46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511.46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1048739.24</v>
      </c>
      <c r="D103" s="86">
        <f>D62+D80+D90+D102</f>
        <v>1731.13</v>
      </c>
      <c r="E103" s="86">
        <f>E62+E80+E90+E102</f>
        <v>17163.71</v>
      </c>
      <c r="F103" s="86">
        <f>F62+F80+F90+F102</f>
        <v>0</v>
      </c>
      <c r="G103" s="86">
        <f>G62+G80+G102</f>
        <v>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455921.13</v>
      </c>
      <c r="D108" s="24" t="s">
        <v>289</v>
      </c>
      <c r="E108" s="95">
        <f>('DOE25'!L275)+('DOE25'!L294)+('DOE25'!L313)</f>
        <v>7673.42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53165.67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3435.41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512522.20999999996</v>
      </c>
      <c r="D114" s="86">
        <f>SUM(D108:D113)</f>
        <v>0</v>
      </c>
      <c r="E114" s="86">
        <f>SUM(E108:E113)</f>
        <v>7673.42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21607.93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20037.809999999998</v>
      </c>
      <c r="D118" s="24" t="s">
        <v>289</v>
      </c>
      <c r="E118" s="95">
        <f>+('DOE25'!L281)+('DOE25'!L300)+('DOE25'!L319)</f>
        <v>9457.369999999999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92133.66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181500.96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14.87</v>
      </c>
      <c r="D121" s="24" t="s">
        <v>289</v>
      </c>
      <c r="E121" s="95">
        <f>+('DOE25'!L284)+('DOE25'!L303)+('DOE25'!L322)</f>
        <v>32.92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108815.37000000001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1521.29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1731.13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425631.88999999996</v>
      </c>
      <c r="D127" s="86">
        <f>SUM(D117:D126)</f>
        <v>1731.13</v>
      </c>
      <c r="E127" s="86">
        <f>SUM(E117:E126)</f>
        <v>9490.2899999999991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169658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9708.0400000000009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511.46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179877.5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1118031.5999999999</v>
      </c>
      <c r="D144" s="86">
        <f>(D114+D127+D143)</f>
        <v>1731.13</v>
      </c>
      <c r="E144" s="86">
        <f>(E114+E127+E143)</f>
        <v>17163.71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7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01/11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08/16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388105.5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2.97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313105.5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313105.5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75000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75000</v>
      </c>
    </row>
    <row r="158" spans="1:9" x14ac:dyDescent="0.2">
      <c r="A158" s="22" t="s">
        <v>35</v>
      </c>
      <c r="B158" s="137">
        <f>'DOE25'!F497</f>
        <v>238105.5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238105.5</v>
      </c>
    </row>
    <row r="159" spans="1:9" x14ac:dyDescent="0.2">
      <c r="A159" s="22" t="s">
        <v>36</v>
      </c>
      <c r="B159" s="137">
        <f>'DOE25'!F498</f>
        <v>11358.05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11358.05</v>
      </c>
    </row>
    <row r="160" spans="1:9" x14ac:dyDescent="0.2">
      <c r="A160" s="22" t="s">
        <v>37</v>
      </c>
      <c r="B160" s="137">
        <f>'DOE25'!F499</f>
        <v>249463.55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249463.55</v>
      </c>
    </row>
    <row r="161" spans="1:7" x14ac:dyDescent="0.2">
      <c r="A161" s="22" t="s">
        <v>38</v>
      </c>
      <c r="B161" s="137">
        <f>'DOE25'!F500</f>
        <v>75000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75000</v>
      </c>
    </row>
    <row r="162" spans="1:7" x14ac:dyDescent="0.2">
      <c r="A162" s="22" t="s">
        <v>39</v>
      </c>
      <c r="B162" s="137">
        <f>'DOE25'!F501</f>
        <v>5948.81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5948.81</v>
      </c>
    </row>
    <row r="163" spans="1:7" x14ac:dyDescent="0.2">
      <c r="A163" s="22" t="s">
        <v>246</v>
      </c>
      <c r="B163" s="137">
        <f>'DOE25'!F502</f>
        <v>80948.81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80948.81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WATERVILLE VALLEY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27285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27285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463595</v>
      </c>
      <c r="D10" s="182">
        <f>ROUND((C10/$C$28)*100,1)</f>
        <v>48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53166</v>
      </c>
      <c r="D11" s="182">
        <f>ROUND((C11/$C$28)*100,1)</f>
        <v>5.5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3435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21608</v>
      </c>
      <c r="D15" s="182">
        <f t="shared" ref="D15:D27" si="0">ROUND((C15/$C$28)*100,1)</f>
        <v>2.2000000000000002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29495</v>
      </c>
      <c r="D16" s="182">
        <f t="shared" si="0"/>
        <v>3.1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92134</v>
      </c>
      <c r="D17" s="182">
        <f t="shared" si="0"/>
        <v>9.5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181501</v>
      </c>
      <c r="D18" s="182">
        <f t="shared" si="0"/>
        <v>18.8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48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108815</v>
      </c>
      <c r="D20" s="182">
        <f t="shared" si="0"/>
        <v>11.3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1521</v>
      </c>
      <c r="D21" s="182">
        <f t="shared" si="0"/>
        <v>0.2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9708</v>
      </c>
      <c r="D25" s="182">
        <f t="shared" si="0"/>
        <v>1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769.05</v>
      </c>
      <c r="D27" s="182">
        <f t="shared" si="0"/>
        <v>0.1</v>
      </c>
    </row>
    <row r="28" spans="1:4" x14ac:dyDescent="0.2">
      <c r="B28" s="187" t="s">
        <v>723</v>
      </c>
      <c r="C28" s="180">
        <f>SUM(C10:C27)</f>
        <v>965795.05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965795.05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169658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115397</v>
      </c>
      <c r="D35" s="182">
        <f t="shared" ref="D35:D40" si="1">ROUND((C35/$C$41)*100,1)</f>
        <v>10.8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13080.729999999996</v>
      </c>
      <c r="D36" s="182">
        <f t="shared" si="1"/>
        <v>1.2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865821</v>
      </c>
      <c r="D37" s="182">
        <f t="shared" si="1"/>
        <v>81.2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28397</v>
      </c>
      <c r="D38" s="182">
        <f t="shared" si="1"/>
        <v>2.7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43465</v>
      </c>
      <c r="D39" s="182">
        <f t="shared" si="1"/>
        <v>4.0999999999999996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1066160.73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WATERVILLE VALLEY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2013-11-12T18:46:43Z</cp:lastPrinted>
  <dcterms:created xsi:type="dcterms:W3CDTF">1997-12-04T19:04:30Z</dcterms:created>
  <dcterms:modified xsi:type="dcterms:W3CDTF">2013-11-12T18:52:07Z</dcterms:modified>
</cp:coreProperties>
</file>