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6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E110" i="2" s="1"/>
  <c r="L297" i="1"/>
  <c r="L299" i="1"/>
  <c r="L300" i="1"/>
  <c r="E118" i="2" s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E113" i="2" s="1"/>
  <c r="L259" i="1"/>
  <c r="C130" i="2" s="1"/>
  <c r="L260" i="1"/>
  <c r="C131" i="2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E55" i="2" s="1"/>
  <c r="I59" i="1"/>
  <c r="F55" i="2" s="1"/>
  <c r="F78" i="1"/>
  <c r="C56" i="2" s="1"/>
  <c r="F93" i="1"/>
  <c r="C57" i="2" s="1"/>
  <c r="F110" i="1"/>
  <c r="G110" i="1"/>
  <c r="H78" i="1"/>
  <c r="E56" i="2" s="1"/>
  <c r="H93" i="1"/>
  <c r="H110" i="1"/>
  <c r="I110" i="1"/>
  <c r="J110" i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G161" i="1"/>
  <c r="H146" i="1"/>
  <c r="E84" i="2" s="1"/>
  <c r="H161" i="1"/>
  <c r="H168" i="1" s="1"/>
  <c r="I146" i="1"/>
  <c r="I161" i="1"/>
  <c r="L249" i="1"/>
  <c r="L331" i="1"/>
  <c r="C23" i="10" s="1"/>
  <c r="L253" i="1"/>
  <c r="L267" i="1"/>
  <c r="L268" i="1"/>
  <c r="L348" i="1"/>
  <c r="L349" i="1"/>
  <c r="I664" i="1"/>
  <c r="I669" i="1"/>
  <c r="L246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I551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D31" i="2" s="1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F49" i="2" s="1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7" i="2"/>
  <c r="C58" i="2"/>
  <c r="D58" i="2"/>
  <c r="E58" i="2"/>
  <c r="F58" i="2"/>
  <c r="D59" i="2"/>
  <c r="C60" i="2"/>
  <c r="D60" i="2"/>
  <c r="E60" i="2"/>
  <c r="F60" i="2"/>
  <c r="F61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2" i="2"/>
  <c r="E112" i="2"/>
  <c r="C113" i="2"/>
  <c r="D114" i="2"/>
  <c r="F114" i="2"/>
  <c r="G114" i="2"/>
  <c r="E122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E143" i="2" s="1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51" i="1" s="1"/>
  <c r="H617" i="1" s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6" i="1" s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G459" i="1"/>
  <c r="H459" i="1"/>
  <c r="F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9" i="1" s="1"/>
  <c r="L567" i="1"/>
  <c r="L568" i="1"/>
  <c r="F569" i="1"/>
  <c r="F570" i="1" s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J635" i="1" s="1"/>
  <c r="H636" i="1"/>
  <c r="H637" i="1"/>
  <c r="G638" i="1"/>
  <c r="H638" i="1"/>
  <c r="G640" i="1"/>
  <c r="H640" i="1"/>
  <c r="G642" i="1"/>
  <c r="J642" i="1" s="1"/>
  <c r="H642" i="1"/>
  <c r="G643" i="1"/>
  <c r="G644" i="1"/>
  <c r="G649" i="1"/>
  <c r="G650" i="1"/>
  <c r="G651" i="1"/>
  <c r="H651" i="1"/>
  <c r="G652" i="1"/>
  <c r="H652" i="1"/>
  <c r="G653" i="1"/>
  <c r="H653" i="1"/>
  <c r="H654" i="1"/>
  <c r="L255" i="1"/>
  <c r="F31" i="2"/>
  <c r="C26" i="10"/>
  <c r="L327" i="1"/>
  <c r="H659" i="1" s="1"/>
  <c r="L350" i="1"/>
  <c r="E49" i="2"/>
  <c r="D18" i="13"/>
  <c r="C18" i="13" s="1"/>
  <c r="D17" i="13"/>
  <c r="C17" i="13" s="1"/>
  <c r="G80" i="2"/>
  <c r="G156" i="2"/>
  <c r="G155" i="2"/>
  <c r="D19" i="13"/>
  <c r="C19" i="13" s="1"/>
  <c r="J640" i="1"/>
  <c r="J638" i="1"/>
  <c r="L432" i="1"/>
  <c r="L418" i="1"/>
  <c r="I475" i="1"/>
  <c r="H624" i="1" s="1"/>
  <c r="J139" i="1"/>
  <c r="H551" i="1"/>
  <c r="C29" i="10"/>
  <c r="L392" i="1"/>
  <c r="C137" i="2" s="1"/>
  <c r="F22" i="13"/>
  <c r="J650" i="1"/>
  <c r="L559" i="1"/>
  <c r="J654" i="1"/>
  <c r="I570" i="1"/>
  <c r="G36" i="2"/>
  <c r="K550" i="1"/>
  <c r="C22" i="13"/>
  <c r="L538" i="1" l="1"/>
  <c r="K570" i="1"/>
  <c r="H570" i="1"/>
  <c r="H544" i="1"/>
  <c r="J475" i="1"/>
  <c r="H625" i="1" s="1"/>
  <c r="G460" i="1"/>
  <c r="H639" i="1" s="1"/>
  <c r="I445" i="1"/>
  <c r="G641" i="1" s="1"/>
  <c r="D126" i="2"/>
  <c r="D127" i="2" s="1"/>
  <c r="D144" i="2" s="1"/>
  <c r="K337" i="1"/>
  <c r="K351" i="1" s="1"/>
  <c r="L336" i="1"/>
  <c r="G661" i="1"/>
  <c r="C13" i="10"/>
  <c r="C25" i="10"/>
  <c r="C32" i="10"/>
  <c r="C19" i="10"/>
  <c r="C111" i="2"/>
  <c r="D14" i="13"/>
  <c r="C14" i="13" s="1"/>
  <c r="K256" i="1"/>
  <c r="K270" i="1" s="1"/>
  <c r="I256" i="1"/>
  <c r="I270" i="1" s="1"/>
  <c r="C124" i="2"/>
  <c r="A31" i="12"/>
  <c r="D49" i="2"/>
  <c r="D18" i="2"/>
  <c r="C49" i="2"/>
  <c r="F51" i="1"/>
  <c r="H616" i="1" s="1"/>
  <c r="J616" i="1" s="1"/>
  <c r="K544" i="1"/>
  <c r="L533" i="1"/>
  <c r="G544" i="1"/>
  <c r="G161" i="2"/>
  <c r="G163" i="2"/>
  <c r="G159" i="2"/>
  <c r="G160" i="2"/>
  <c r="G158" i="2"/>
  <c r="F102" i="2"/>
  <c r="H191" i="1"/>
  <c r="E77" i="2"/>
  <c r="G191" i="1"/>
  <c r="D80" i="2"/>
  <c r="I111" i="1"/>
  <c r="E102" i="2"/>
  <c r="D61" i="2"/>
  <c r="D62" i="2" s="1"/>
  <c r="C102" i="2"/>
  <c r="C69" i="2"/>
  <c r="K502" i="1"/>
  <c r="K499" i="1"/>
  <c r="A40" i="12"/>
  <c r="A13" i="12"/>
  <c r="K597" i="1"/>
  <c r="G646" i="1" s="1"/>
  <c r="K604" i="1"/>
  <c r="G647" i="1" s="1"/>
  <c r="L613" i="1"/>
  <c r="J570" i="1"/>
  <c r="L564" i="1"/>
  <c r="J544" i="1"/>
  <c r="K548" i="1"/>
  <c r="G551" i="1"/>
  <c r="F551" i="1"/>
  <c r="I544" i="1"/>
  <c r="J551" i="1"/>
  <c r="L543" i="1"/>
  <c r="L528" i="1"/>
  <c r="K549" i="1"/>
  <c r="L523" i="1"/>
  <c r="H475" i="1"/>
  <c r="H623" i="1" s="1"/>
  <c r="J623" i="1" s="1"/>
  <c r="G475" i="1"/>
  <c r="H622" i="1" s="1"/>
  <c r="F475" i="1"/>
  <c r="H621" i="1" s="1"/>
  <c r="J621" i="1" s="1"/>
  <c r="H407" i="1"/>
  <c r="H643" i="1" s="1"/>
  <c r="J643" i="1" s="1"/>
  <c r="I459" i="1"/>
  <c r="I460" i="1" s="1"/>
  <c r="H641" i="1" s="1"/>
  <c r="J641" i="1" s="1"/>
  <c r="J639" i="1"/>
  <c r="L400" i="1"/>
  <c r="C138" i="2" s="1"/>
  <c r="J644" i="1"/>
  <c r="I368" i="1"/>
  <c r="H633" i="1" s="1"/>
  <c r="J633" i="1" s="1"/>
  <c r="G660" i="1"/>
  <c r="D29" i="13"/>
  <c r="C29" i="13" s="1"/>
  <c r="H337" i="1"/>
  <c r="H351" i="1" s="1"/>
  <c r="F660" i="1"/>
  <c r="L361" i="1"/>
  <c r="G634" i="1" s="1"/>
  <c r="J634" i="1" s="1"/>
  <c r="H660" i="1"/>
  <c r="H663" i="1" s="1"/>
  <c r="C11" i="10"/>
  <c r="G337" i="1"/>
  <c r="G351" i="1" s="1"/>
  <c r="E124" i="2"/>
  <c r="E123" i="2"/>
  <c r="E121" i="2"/>
  <c r="E120" i="2"/>
  <c r="E119" i="2"/>
  <c r="E117" i="2"/>
  <c r="L308" i="1"/>
  <c r="E111" i="2"/>
  <c r="F337" i="1"/>
  <c r="F351" i="1" s="1"/>
  <c r="E108" i="2"/>
  <c r="J337" i="1"/>
  <c r="J351" i="1" s="1"/>
  <c r="C16" i="10"/>
  <c r="C18" i="10"/>
  <c r="L289" i="1"/>
  <c r="H25" i="13"/>
  <c r="C15" i="10"/>
  <c r="J256" i="1"/>
  <c r="J270" i="1" s="1"/>
  <c r="C21" i="10"/>
  <c r="C121" i="2"/>
  <c r="D12" i="13"/>
  <c r="C12" i="13" s="1"/>
  <c r="C119" i="2"/>
  <c r="E16" i="13"/>
  <c r="C16" i="13" s="1"/>
  <c r="C20" i="10"/>
  <c r="C120" i="2"/>
  <c r="L228" i="1"/>
  <c r="C109" i="2"/>
  <c r="F256" i="1"/>
  <c r="F270" i="1" s="1"/>
  <c r="H256" i="1"/>
  <c r="H270" i="1" s="1"/>
  <c r="G256" i="1"/>
  <c r="G270" i="1" s="1"/>
  <c r="C108" i="2"/>
  <c r="D7" i="13"/>
  <c r="C7" i="13" s="1"/>
  <c r="E8" i="13"/>
  <c r="C8" i="13" s="1"/>
  <c r="C17" i="10"/>
  <c r="C118" i="2"/>
  <c r="H646" i="1"/>
  <c r="D5" i="13"/>
  <c r="C5" i="13" s="1"/>
  <c r="C123" i="2"/>
  <c r="D15" i="13"/>
  <c r="C15" i="13" s="1"/>
  <c r="G648" i="1"/>
  <c r="J648" i="1" s="1"/>
  <c r="F661" i="1"/>
  <c r="I661" i="1" s="1"/>
  <c r="C122" i="2"/>
  <c r="E13" i="13"/>
  <c r="C13" i="13" s="1"/>
  <c r="D6" i="13"/>
  <c r="C6" i="13" s="1"/>
  <c r="C117" i="2"/>
  <c r="C12" i="10"/>
  <c r="C110" i="2"/>
  <c r="C114" i="2" s="1"/>
  <c r="L210" i="1"/>
  <c r="C10" i="10"/>
  <c r="J111" i="1"/>
  <c r="J192" i="1" s="1"/>
  <c r="G645" i="1" s="1"/>
  <c r="I168" i="1"/>
  <c r="F77" i="2"/>
  <c r="F80" i="2" s="1"/>
  <c r="F62" i="2"/>
  <c r="E80" i="2"/>
  <c r="H139" i="1"/>
  <c r="F191" i="1"/>
  <c r="F168" i="1"/>
  <c r="C77" i="2"/>
  <c r="C80" i="2" s="1"/>
  <c r="E61" i="2"/>
  <c r="E62" i="2" s="1"/>
  <c r="H111" i="1"/>
  <c r="D90" i="2"/>
  <c r="G111" i="1"/>
  <c r="C90" i="2"/>
  <c r="C61" i="2"/>
  <c r="C62" i="2" s="1"/>
  <c r="C35" i="10"/>
  <c r="F111" i="1"/>
  <c r="J624" i="1"/>
  <c r="I51" i="1"/>
  <c r="H619" i="1" s="1"/>
  <c r="J619" i="1" s="1"/>
  <c r="F50" i="2"/>
  <c r="F18" i="2"/>
  <c r="E31" i="2"/>
  <c r="E50" i="2" s="1"/>
  <c r="H51" i="1"/>
  <c r="H618" i="1" s="1"/>
  <c r="J618" i="1" s="1"/>
  <c r="E18" i="2"/>
  <c r="G622" i="1"/>
  <c r="C31" i="2"/>
  <c r="C50" i="2" s="1"/>
  <c r="C18" i="2"/>
  <c r="C24" i="10"/>
  <c r="G31" i="13"/>
  <c r="G33" i="13" s="1"/>
  <c r="I337" i="1"/>
  <c r="I351" i="1" s="1"/>
  <c r="J649" i="1"/>
  <c r="L406" i="1"/>
  <c r="C139" i="2" s="1"/>
  <c r="L570" i="1"/>
  <c r="I191" i="1"/>
  <c r="E90" i="2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G168" i="1"/>
  <c r="G139" i="1"/>
  <c r="F139" i="1"/>
  <c r="G62" i="2"/>
  <c r="G103" i="2" s="1"/>
  <c r="J617" i="1"/>
  <c r="G42" i="2"/>
  <c r="J50" i="1"/>
  <c r="G16" i="2"/>
  <c r="J19" i="1"/>
  <c r="G620" i="1" s="1"/>
  <c r="G18" i="2"/>
  <c r="F544" i="1"/>
  <c r="H433" i="1"/>
  <c r="D102" i="2"/>
  <c r="I139" i="1"/>
  <c r="A22" i="12"/>
  <c r="G49" i="2"/>
  <c r="J651" i="1"/>
  <c r="G570" i="1"/>
  <c r="I433" i="1"/>
  <c r="G433" i="1"/>
  <c r="I662" i="1"/>
  <c r="J646" i="1" l="1"/>
  <c r="L407" i="1"/>
  <c r="C140" i="2"/>
  <c r="C143" i="2" s="1"/>
  <c r="E114" i="2"/>
  <c r="C39" i="10"/>
  <c r="F103" i="2"/>
  <c r="J622" i="1"/>
  <c r="K551" i="1"/>
  <c r="L544" i="1"/>
  <c r="G50" i="2"/>
  <c r="C27" i="10"/>
  <c r="C28" i="10" s="1"/>
  <c r="D22" i="10" s="1"/>
  <c r="I660" i="1"/>
  <c r="H671" i="1"/>
  <c r="C6" i="10" s="1"/>
  <c r="H666" i="1"/>
  <c r="E127" i="2"/>
  <c r="G659" i="1"/>
  <c r="G663" i="1" s="1"/>
  <c r="G671" i="1" s="1"/>
  <c r="C5" i="10" s="1"/>
  <c r="D31" i="13"/>
  <c r="C31" i="13" s="1"/>
  <c r="L337" i="1"/>
  <c r="L351" i="1" s="1"/>
  <c r="G632" i="1" s="1"/>
  <c r="J632" i="1" s="1"/>
  <c r="F659" i="1"/>
  <c r="F663" i="1" s="1"/>
  <c r="F671" i="1" s="1"/>
  <c r="C4" i="10" s="1"/>
  <c r="C25" i="13"/>
  <c r="H33" i="13"/>
  <c r="H647" i="1"/>
  <c r="J647" i="1" s="1"/>
  <c r="C127" i="2"/>
  <c r="E33" i="13"/>
  <c r="D35" i="13" s="1"/>
  <c r="L256" i="1"/>
  <c r="L270" i="1" s="1"/>
  <c r="G631" i="1" s="1"/>
  <c r="J631" i="1" s="1"/>
  <c r="H192" i="1"/>
  <c r="G628" i="1" s="1"/>
  <c r="J628" i="1" s="1"/>
  <c r="D103" i="2"/>
  <c r="I192" i="1"/>
  <c r="G629" i="1" s="1"/>
  <c r="J629" i="1" s="1"/>
  <c r="E103" i="2"/>
  <c r="C36" i="10"/>
  <c r="C103" i="2"/>
  <c r="F192" i="1"/>
  <c r="G626" i="1" s="1"/>
  <c r="J626" i="1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C144" i="2" l="1"/>
  <c r="G636" i="1"/>
  <c r="J636" i="1" s="1"/>
  <c r="H645" i="1"/>
  <c r="J645" i="1" s="1"/>
  <c r="E144" i="2"/>
  <c r="G666" i="1"/>
  <c r="D33" i="13"/>
  <c r="D36" i="13" s="1"/>
  <c r="I659" i="1"/>
  <c r="I663" i="1" s="1"/>
  <c r="I671" i="1" s="1"/>
  <c r="C7" i="10" s="1"/>
  <c r="F666" i="1"/>
  <c r="D10" i="10"/>
  <c r="D23" i="10"/>
  <c r="D17" i="10"/>
  <c r="C30" i="10"/>
  <c r="D27" i="10"/>
  <c r="D24" i="10"/>
  <c r="D18" i="10"/>
  <c r="D12" i="10"/>
  <c r="D26" i="10"/>
  <c r="D16" i="10"/>
  <c r="D20" i="10"/>
  <c r="D15" i="10"/>
  <c r="D25" i="10"/>
  <c r="D19" i="10"/>
  <c r="D13" i="10"/>
  <c r="D11" i="10"/>
  <c r="D21" i="10"/>
  <c r="C41" i="10"/>
  <c r="D38" i="10" s="1"/>
  <c r="H655" i="1" l="1"/>
  <c r="I66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<sst xmlns="http://schemas.openxmlformats.org/spreadsheetml/2006/main" count="3948" uniqueCount="914">
  <si>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</si>
  <si>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</si>
  <si>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</si>
  <si>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</si>
  <si>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</si>
  <si>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</si>
  <si>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</si>
  <si>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</si>
  <si>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</si>
  <si>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</si>
  <si>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</si>
  <si>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</si>
  <si>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</si>
  <si>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</si>
  <si>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</si>
  <si>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</si>
  <si>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</si>
  <si>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</si>
  <si>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</si>
  <si>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</si>
  <si>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</si>
  <si>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</si>
  <si>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</si>
  <si>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</si>
  <si>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</si>
  <si>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</si>
  <si>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</si>
  <si>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</si>
  <si>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</si>
  <si>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</si>
  <si>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</si>
  <si>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</si>
  <si>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</si>
  <si>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</si>
  <si>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</si>
  <si>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</si>
  <si>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</si>
  <si>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</si>
  <si>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</si>
  <si>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</si>
  <si>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</si>
  <si>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</si>
  <si>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</si>
  <si>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</si>
  <si>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</si>
  <si>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</si>
  <si>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</si>
  <si>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</si>
  <si>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</si>
  <si>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</si>
  <si>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</si>
  <si>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</si>
  <si>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</si>
  <si>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</si>
  <si>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</si>
  <si>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</si>
  <si>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</si>
  <si>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</si>
  <si>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</si>
  <si>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</si>
  <si>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</si>
  <si>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</si>
  <si>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</si>
  <si>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</si>
  <si>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</si>
  <si>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</si>
  <si>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</si>
  <si>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</si>
  <si>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</si>
  <si>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</si>
  <si>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</si>
  <si>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</si>
  <si>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</si>
  <si>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</si>
  <si>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</si>
  <si>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</si>
  <si>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</si>
  <si>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</si>
  <si>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</si>
  <si>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</si>
  <si>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</si>
  <si>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</si>
  <si>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</si>
  <si>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</si>
  <si>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</si>
  <si>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</si>
  <si>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</si>
  <si>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</si>
  <si>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</si>
  <si>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</si>
  <si>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</si>
  <si>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</si>
  <si>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</si>
  <si>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</si>
  <si>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</si>
  <si>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</si>
  <si>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</si>
  <si>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</si>
  <si>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</si>
  <si>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</si>
  <si>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</si>
  <si>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</si>
  <si>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</si>
  <si>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</si>
  <si>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</si>
  <si>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</si>
  <si>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</si>
  <si>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</si>
  <si>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</si>
  <si>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</si>
  <si>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</si>
  <si>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</si>
  <si>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</si>
  <si>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</si>
  <si>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</si>
  <si>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</si>
  <si>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</si>
  <si>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</si>
  <si>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</si>
  <si>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</si>
  <si>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</si>
  <si>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</si>
  <si>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</si>
  <si>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</si>
  <si>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</si>
  <si>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</si>
  <si>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</si>
  <si>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</si>
  <si>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</si>
  <si>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</si>
  <si>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</si>
  <si>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</si>
  <si>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</si>
  <si>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</si>
  <si>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</si>
  <si>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</si>
  <si>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</si>
  <si>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</si>
  <si>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</si>
  <si>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</si>
  <si>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</si>
  <si>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</si>
  <si>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</si>
  <si>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</si>
  <si>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</si>
  <si>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</si>
  <si>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</si>
  <si>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</si>
  <si>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</si>
  <si>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</si>
  <si>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</si>
  <si>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</si>
  <si>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</si>
  <si>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</si>
  <si>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</si>
  <si>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</si>
  <si>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</si>
  <si>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</si>
  <si>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</si>
  <si>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</si>
  <si>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</si>
  <si>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</si>
  <si>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</si>
  <si>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</si>
  <si>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</si>
  <si>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</si>
  <si>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</si>
  <si>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</si>
  <si>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</si>
  <si>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</si>
  <si>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</si>
  <si>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</si>
  <si>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</si>
  <si>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</si>
  <si>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</si>
  <si>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</si>
  <si>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</si>
  <si>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</si>
  <si>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</si>
  <si>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</si>
  <si>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</si>
  <si>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</si>
  <si>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</si>
  <si>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</si>
  <si>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</si>
  <si>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</si>
  <si>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</si>
  <si>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</si>
  <si>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</si>
  <si>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</si>
  <si>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</si>
  <si>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</si>
  <si>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</si>
  <si>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</si>
  <si>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</si>
  <si>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</si>
  <si>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</si>
  <si>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</si>
  <si>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</si>
  <si>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</si>
  <si>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</si>
  <si>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</si>
  <si>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</si>
  <si>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</si>
  <si>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</si>
  <si>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</si>
  <si>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</si>
  <si>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</si>
  <si>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</si>
  <si>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</si>
  <si>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</si>
  <si>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</si>
  <si>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</si>
  <si>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</si>
  <si>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</si>
  <si>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</si>
  <si>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</si>
  <si>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</si>
  <si>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</si>
  <si>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</si>
  <si>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</si>
  <si>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</si>
  <si>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</si>
  <si>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</si>
  <si>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</si>
  <si>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</si>
  <si>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</si>
  <si>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</si>
  <si>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</si>
  <si>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</si>
  <si>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</si>
  <si>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</si>
  <si>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</si>
  <si>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</si>
  <si>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</si>
  <si>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</si>
  <si>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</si>
  <si>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</si>
  <si>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</si>
  <si>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</si>
  <si>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</si>
  <si>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</si>
  <si>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</si>
  <si>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</si>
  <si>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</si>
  <si>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</si>
  <si>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</si>
  <si>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</si>
  <si>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</si>
  <si>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</si>
  <si>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</si>
  <si>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</si>
  <si>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</si>
  <si>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</si>
  <si>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</si>
  <si>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</si>
  <si>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</si>
  <si>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</si>
  <si>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</si>
  <si>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</si>
  <si>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</si>
  <si>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</si>
  <si>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</si>
  <si>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</si>
  <si>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</si>
  <si>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</si>
  <si>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</si>
  <si>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</si>
  <si>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</si>
  <si>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</si>
  <si>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</si>
  <si>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</si>
  <si>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</si>
  <si>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</si>
  <si>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</si>
  <si>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</si>
  <si>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</si>
  <si>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</si>
  <si>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</si>
  <si>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</si>
  <si>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</si>
  <si>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</si>
  <si>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</si>
  <si>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</si>
  <si>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</si>
  <si>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</si>
  <si>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</si>
  <si>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</si>
  <si>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</si>
  <si>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</si>
  <si>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</si>
  <si>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</si>
  <si>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</si>
  <si>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</si>
  <si>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</si>
  <si>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</si>
  <si>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</si>
  <si>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</si>
  <si>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</si>
  <si>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</si>
  <si>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</si>
  <si>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</si>
  <si>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</si>
  <si>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</si>
  <si>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</si>
  <si>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</si>
  <si>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</si>
  <si>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</si>
  <si>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</si>
  <si>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</si>
  <si>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</si>
  <si>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</si>
  <si>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</si>
  <si>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</si>
  <si>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</si>
  <si>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</si>
  <si>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</si>
  <si>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</si>
  <si>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</si>
  <si>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</si>
  <si>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</si>
  <si>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</si>
  <si>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</si>
  <si>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</si>
  <si>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</si>
  <si>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</si>
  <si>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</si>
  <si>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</si>
  <si>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</si>
  <si>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</si>
  <si>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</si>
  <si>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</si>
  <si>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</si>
  <si>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</si>
  <si>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</si>
  <si>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</si>
  <si>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</si>
  <si>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</si>
  <si>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</si>
  <si>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</si>
  <si>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</si>
  <si>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</si>
  <si>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</si>
  <si>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</si>
  <si>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</si>
  <si>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</si>
  <si>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</si>
  <si>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</si>
  <si>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</si>
  <si>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</si>
  <si>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</si>
  <si>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</si>
  <si>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</si>
  <si>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</si>
  <si>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</si>
  <si>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</si>
  <si>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</si>
  <si>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</si>
  <si>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</si>
  <si>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</si>
  <si>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</si>
  <si>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</si>
  <si>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</si>
  <si>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</si>
  <si>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</si>
  <si>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</si>
  <si>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</si>
  <si>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</si>
  <si>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</si>
  <si>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</si>
  <si>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</si>
  <si>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</si>
  <si>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</si>
  <si>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</si>
  <si>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</si>
  <si>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</si>
  <si>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</si>
  <si>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</si>
  <si>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</si>
  <si>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</si>
  <si>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</si>
  <si>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</si>
  <si>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</si>
  <si>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</si>
  <si>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</si>
  <si>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</si>
  <si>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</si>
  <si>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</si>
  <si>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</si>
  <si>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</si>
  <si>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</si>
  <si>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</si>
  <si>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</si>
  <si>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</si>
  <si>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</si>
  <si>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</si>
  <si>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</si>
  <si>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</si>
  <si>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</si>
  <si>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</si>
  <si>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</si>
  <si>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</si>
  <si>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</si>
  <si>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</si>
  <si>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</si>
  <si>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</si>
  <si>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</si>
  <si>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</si>
  <si>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</si>
  <si>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</si>
  <si>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</si>
  <si>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</si>
  <si>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</si>
  <si>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</si>
  <si>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</si>
  <si>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</si>
  <si>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</si>
  <si>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</si>
  <si>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</si>
  <si>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</si>
  <si>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</si>
  <si>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</si>
  <si>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</si>
  <si>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</si>
  <si>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</si>
  <si>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</si>
  <si>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</si>
  <si>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</si>
  <si>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</si>
  <si>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</si>
  <si>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</si>
  <si>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</si>
  <si>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</si>
  <si>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</si>
  <si>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</si>
  <si>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</si>
  <si>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</si>
  <si>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</si>
  <si>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</si>
  <si>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</si>
  <si>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</si>
  <si>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</si>
  <si>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</si>
  <si>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</si>
  <si>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</si>
  <si>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</si>
  <si>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</si>
  <si>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</si>
  <si>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</si>
  <si>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</si>
  <si>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</si>
  <si>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</si>
  <si>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</si>
  <si>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</si>
  <si>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</si>
  <si>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</si>
  <si>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</si>
  <si>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</si>
  <si>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</si>
  <si>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</si>
  <si>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</si>
  <si>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</si>
  <si>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</si>
  <si>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</si>
  <si>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</si>
  <si>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</si>
  <si>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</si>
  <si>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</si>
  <si>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</si>
  <si>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</si>
  <si>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</si>
  <si>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</si>
  <si>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</si>
  <si>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</si>
  <si>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</si>
  <si>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</si>
  <si>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</si>
  <si>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</si>
  <si>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</si>
  <si>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</si>
  <si>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</si>
  <si>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</si>
  <si>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</si>
  <si>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</si>
  <si>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</si>
  <si>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</si>
  <si>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</si>
  <si>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</si>
  <si>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</si>
  <si>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</si>
  <si>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</si>
  <si>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</si>
  <si>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</si>
  <si>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</si>
  <si>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</si>
  <si>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</si>
  <si>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</si>
  <si>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</si>
  <si>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</si>
  <si>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</si>
  <si>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</si>
  <si>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</si>
  <si>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</si>
  <si>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</si>
  <si>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</si>
  <si>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</si>
  <si>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</si>
  <si>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</si>
  <si>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</si>
  <si>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</si>
  <si>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</si>
  <si>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</si>
  <si>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</si>
  <si>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</si>
  <si>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</si>
  <si>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</si>
  <si>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</si>
  <si>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</si>
  <si>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</si>
  <si>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</si>
  <si>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</si>
  <si>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</si>
  <si>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</si>
  <si>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</si>
  <si>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</si>
  <si>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</si>
  <si>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</si>
  <si>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</si>
  <si>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</si>
  <si>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</si>
  <si>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</si>
  <si>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</si>
  <si>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</si>
  <si>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</si>
  <si>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</si>
  <si>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</si>
  <si>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</si>
  <si>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</si>
  <si>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</si>
  <si>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</si>
  <si>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</si>
  <si>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</si>
  <si>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</si>
  <si>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</si>
  <si>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</si>
  <si>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</si>
  <si>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</si>
  <si>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</si>
  <si>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</si>
  <si>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</si>
  <si>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</si>
  <si>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</si>
  <si>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</si>
  <si>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</si>
  <si>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</si>
  <si>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</si>
  <si>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</si>
  <si>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</si>
  <si>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</si>
  <si>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</si>
  <si>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</si>
  <si>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</si>
  <si>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</si>
  <si>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</si>
  <si>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</si>
  <si>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</si>
  <si>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</si>
  <si>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</si>
  <si>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</si>
  <si>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</si>
  <si>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</si>
  <si>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</si>
  <si>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</si>
  <si>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</si>
  <si>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</si>
  <si>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</si>
  <si>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</si>
  <si>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</si>
  <si>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</si>
  <si>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</si>
  <si>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</si>
  <si>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</si>
  <si>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</si>
  <si>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</si>
  <si>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</si>
  <si>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</si>
  <si>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</si>
  <si>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</si>
  <si>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</si>
  <si>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</si>
  <si>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</si>
  <si>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</si>
  <si>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</si>
  <si>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</si>
  <si>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</si>
  <si>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</si>
  <si>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</si>
  <si>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</si>
  <si>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</si>
  <si>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</si>
  <si>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</si>
  <si>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</si>
  <si>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</si>
  <si>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</si>
  <si>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</si>
  <si>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</si>
  <si>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</si>
  <si>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</si>
  <si>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</si>
  <si>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</si>
  <si>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</si>
  <si>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</si>
  <si>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</si>
  <si>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</si>
  <si>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</si>
  <si>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</si>
  <si>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</si>
  <si>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</si>
  <si>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</si>
  <si>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</si>
  <si>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</si>
  <si>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</si>
  <si>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</si>
  <si>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</si>
  <si>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</si>
  <si>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</si>
  <si>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</si>
  <si>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</si>
  <si>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</si>
  <si>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</si>
  <si>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</si>
  <si>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</si>
  <si>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</si>
  <si>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</si>
  <si>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</si>
  <si>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</si>
  <si>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</si>
  <si>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</si>
  <si>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</si>
  <si>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</si>
  <si>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</si>
  <si>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</si>
  <si>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</si>
  <si>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</si>
  <si>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</si>
  <si>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</si>
  <si>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</si>
  <si>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</si>
  <si>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</si>
  <si>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</si>
  <si>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</si>
  <si>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</si>
  <si>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</si>
  <si>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</si>
  <si>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</si>
  <si>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</si>
  <si>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</si>
  <si>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</si>
  <si>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</si>
  <si>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</si>
  <si>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</si>
  <si>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</si>
  <si>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</si>
  <si>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</si>
  <si>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</si>
  <si>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</si>
  <si>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</si>
  <si>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</si>
  <si>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</si>
  <si>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</si>
  <si>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</si>
  <si>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</si>
  <si>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</si>
  <si>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</si>
  <si>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</si>
  <si>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</si>
  <si>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</si>
  <si>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</si>
  <si>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</si>
  <si>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</si>
  <si>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</si>
  <si>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</si>
  <si>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</si>
  <si>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</si>
  <si>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</si>
  <si>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</si>
  <si>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</si>
  <si>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</si>
  <si>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</si>
  <si>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</si>
  <si>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</si>
  <si>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</si>
  <si>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</si>
  <si>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</si>
  <si>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</si>
  <si>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</si>
  <si>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</si>
  <si>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</si>
  <si>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</si>
  <si>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</si>
  <si>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</si>
  <si>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</si>
  <si>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</si>
  <si>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</si>
  <si>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</si>
  <si>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</si>
  <si>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</si>
  <si>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</si>
  <si>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</si>
  <si>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</si>
  <si>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</si>
  <si>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</si>
  <si>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</si>
  <si>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</si>
  <si>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</si>
  <si>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</si>
  <si>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</si>
  <si>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</si>
  <si>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</si>
  <si>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</si>
  <si>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</si>
  <si>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</si>
  <si>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</si>
  <si>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</si>
  <si>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</si>
  <si>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</si>
  <si>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</si>
  <si>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</si>
  <si>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</si>
  <si>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</si>
  <si>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</si>
  <si>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</si>
  <si>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</si>
  <si>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</si>
  <si>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</si>
  <si>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</si>
  <si>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</si>
  <si>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</si>
  <si>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</si>
  <si>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</si>
  <si>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</si>
  <si>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</si>
  <si>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</si>
  <si>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</si>
  <si>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</si>
  <si>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</si>
  <si>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</si>
  <si>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</si>
  <si>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</si>
  <si>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</si>
  <si>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</si>
  <si>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</si>
  <si>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</si>
  <si>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</si>
  <si>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</si>
  <si>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</si>
  <si>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</si>
  <si>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</si>
  <si>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</si>
  <si>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</si>
  <si>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</si>
  <si>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</si>
  <si>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</si>
  <si>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</si>
  <si>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</si>
  <si>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</si>
  <si>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</si>
  <si>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</si>
  <si>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</si>
  <si>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</si>
  <si>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</si>
  <si>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</si>
  <si>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</si>
  <si>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</si>
  <si>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</si>
  <si>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</si>
  <si>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</si>
  <si>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</si>
  <si>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</si>
  <si>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</si>
  <si>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</si>
  <si>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</si>
  <si>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</si>
  <si>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</si>
  <si>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</si>
  <si>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</si>
  <si>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</si>
  <si>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</si>
  <si>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</si>
  <si>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</si>
  <si>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</si>
  <si>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</si>
  <si>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</si>
  <si>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</si>
  <si>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</si>
  <si>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</si>
  <si>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</si>
  <si>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</si>
  <si>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</si>
  <si>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</si>
  <si>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</si>
  <si>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</si>
  <si>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</si>
  <si>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</si>
  <si>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</si>
  <si>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</si>
  <si>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</si>
  <si>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</si>
  <si>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</si>
  <si>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</si>
  <si>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</si>
  <si>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</si>
  <si>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</si>
  <si>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</si>
  <si>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</si>
  <si>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</si>
  <si>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</si>
  <si>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</si>
  <si>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</si>
  <si>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</si>
  <si>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</si>
  <si>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</si>
  <si>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</si>
  <si>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</si>
  <si>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</si>
  <si>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</si>
  <si>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</si>
  <si>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</si>
  <si>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</si>
  <si>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</si>
  <si>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</si>
  <si>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</si>
  <si>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</si>
  <si>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</si>
  <si>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</si>
  <si>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</si>
  <si>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</si>
  <si>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</si>
  <si>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</si>
  <si>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</si>
  <si>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</si>
  <si>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</si>
  <si>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</si>
  <si>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</si>
  <si>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</si>
  <si>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</si>
  <si>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</si>
  <si>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</si>
  <si>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</si>
  <si>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</si>
  <si>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</si>
  <si>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</si>
  <si>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</si>
  <si>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</si>
  <si>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</si>
  <si>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</si>
  <si>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</si>
  <si>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</si>
  <si>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</si>
  <si>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</si>
  <si>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</si>
  <si>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</si>
  <si>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</si>
  <si>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</si>
  <si>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</si>
  <si>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</si>
  <si>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</si>
  <si>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</si>
  <si>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</si>
  <si>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</si>
  <si>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</si>
  <si>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</si>
  <si>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</si>
  <si>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</si>
  <si>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</si>
  <si>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</si>
  <si>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</si>
  <si>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</si>
  <si>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</si>
  <si>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</si>
  <si>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</si>
  <si>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</si>
  <si>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</si>
  <si>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</si>
  <si>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</si>
  <si>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</si>
  <si>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</si>
  <si>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</si>
  <si>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</si>
  <si>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</si>
  <si>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</si>
  <si>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</si>
  <si>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</si>
  <si>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</si>
  <si>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</si>
  <si>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</si>
  <si>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</si>
  <si>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</si>
  <si>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</si>
  <si>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</si>
  <si>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</si>
  <si>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</si>
  <si>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</si>
  <si>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</si>
  <si>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</si>
  <si>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</si>
  <si>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</si>
  <si>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</si>
  <si>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</si>
  <si>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6/23/05</t>
  </si>
  <si>
    <t>8/1/25</t>
  </si>
  <si>
    <t>WEARE SCHOOL DISTRICT</t>
  </si>
  <si>
    <t>Overpayment of prior year liabs</t>
  </si>
  <si>
    <t>Prior Year Adj for prepays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</si>
</sst>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64" sqref="H6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555</v>
      </c>
      <c r="C2" s="21">
        <v>555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258843.99</v>
      </c>
      <c r="G9" s="18">
        <v>47177.82</v>
      </c>
      <c r="H9" s="18">
        <v>-44947.53</v>
      </c>
      <c r="I9" s="18">
        <v>0</v>
      </c>
      <c r="J9" s="67">
        <f>SUM(I438)</f>
        <v>410441.42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2572.94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24000</v>
      </c>
      <c r="G13" s="18">
        <v>10100.950000000001</v>
      </c>
      <c r="H13" s="18">
        <v>44947.53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23063.22</v>
      </c>
      <c r="G14" s="18">
        <v>3680.4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305907.20999999996</v>
      </c>
      <c r="G19" s="41">
        <f>SUM(G9:G18)</f>
        <v>63532.110000000008</v>
      </c>
      <c r="H19" s="41">
        <f>SUM(H9:H18)</f>
        <v>0</v>
      </c>
      <c r="I19" s="41">
        <f>SUM(I9:I18)</f>
        <v>0</v>
      </c>
      <c r="J19" s="41">
        <f>SUM(J9:J18)</f>
        <v>410441.42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2572.94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16206.79</v>
      </c>
      <c r="G23" s="18">
        <v>0</v>
      </c>
      <c r="H23" s="18">
        <v>0</v>
      </c>
      <c r="I23" s="18">
        <v>0</v>
      </c>
      <c r="J23" s="67">
        <f>SUM(I448)</f>
        <v>24000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67684.100000000006</v>
      </c>
      <c r="G24" s="18">
        <v>10000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47921.760000000002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22169.56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6789.29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156555.15</v>
      </c>
      <c r="G32" s="41">
        <f>SUM(G22:G31)</f>
        <v>16789.29</v>
      </c>
      <c r="H32" s="41">
        <f>SUM(H22:H31)</f>
        <v>0</v>
      </c>
      <c r="I32" s="41">
        <f>SUM(I22:I31)</f>
        <v>0</v>
      </c>
      <c r="J32" s="41">
        <f>SUM(J22:J31)</f>
        <v>24000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46742.82</v>
      </c>
      <c r="H47" s="18">
        <v>0</v>
      </c>
      <c r="I47" s="18">
        <v>0</v>
      </c>
      <c r="J47" s="13">
        <f>SUM(I458)</f>
        <v>386441.42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149352.06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149352.06</v>
      </c>
      <c r="G50" s="41">
        <f>SUM(G35:G49)</f>
        <v>46742.82</v>
      </c>
      <c r="H50" s="41">
        <f>SUM(H35:H49)</f>
        <v>0</v>
      </c>
      <c r="I50" s="41">
        <f>SUM(I35:I49)</f>
        <v>0</v>
      </c>
      <c r="J50" s="41">
        <f>SUM(J35:J49)</f>
        <v>386441.42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305907.20999999996</v>
      </c>
      <c r="G51" s="41">
        <f>G50+G32</f>
        <v>63532.11</v>
      </c>
      <c r="H51" s="41">
        <f>H50+H32</f>
        <v>0</v>
      </c>
      <c r="I51" s="41">
        <f>I50+I32</f>
        <v>0</v>
      </c>
      <c r="J51" s="41">
        <f>J50+J32</f>
        <v>410441.42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6381779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6381779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15040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625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27949.9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15665</v>
      </c>
      <c r="G78" s="45" t="s">
        <v>289</v>
      </c>
      <c r="H78" s="41">
        <f>SUM(H62:H77)</f>
        <v>27949.9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49000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49000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>
        <v>0</v>
      </c>
      <c r="H95" s="18">
        <v>0</v>
      </c>
      <c r="I95" s="18">
        <v>0</v>
      </c>
      <c r="J95" s="18">
        <v>110.05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222745.94</f>
        <v>222745.94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390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305.77</v>
      </c>
      <c r="G101" s="18">
        <v>0</v>
      </c>
      <c r="H101" s="18">
        <v>0</v>
      </c>
      <c r="I101" s="18">
        <v>0</v>
      </c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5556.23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26260.84</v>
      </c>
      <c r="G109" s="18">
        <v>10888.5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32512.84</v>
      </c>
      <c r="G110" s="41">
        <f>SUM(G95:G109)</f>
        <v>233634.44</v>
      </c>
      <c r="H110" s="41">
        <f>SUM(H95:H109)</f>
        <v>0</v>
      </c>
      <c r="I110" s="41">
        <f>SUM(I95:I109)</f>
        <v>0</v>
      </c>
      <c r="J110" s="41">
        <f>SUM(J95:J109)</f>
        <v>110.05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6478956.8399999999</v>
      </c>
      <c r="G111" s="41">
        <f>G59+G110</f>
        <v>233634.44</v>
      </c>
      <c r="H111" s="41">
        <f>H59+H78+H93+H110</f>
        <v>27949.9</v>
      </c>
      <c r="I111" s="41">
        <f>I59+I110</f>
        <v>0</v>
      </c>
      <c r="J111" s="41">
        <f>J59+J110</f>
        <v>110.05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4955204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1152860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6108064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385686.4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87015.5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4466.5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472701.9</v>
      </c>
      <c r="G135" s="41">
        <f>SUM(G122:G134)</f>
        <v>4466.5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6580765.9000000004</v>
      </c>
      <c r="G139" s="41">
        <f>G120+SUM(G135:G136)</f>
        <v>4466.5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5758.09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53633.8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108252.96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111143.13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111143.13</v>
      </c>
      <c r="G161" s="41">
        <f>SUM(G149:G160)</f>
        <v>108252.96</v>
      </c>
      <c r="H161" s="41">
        <f>SUM(H149:H160)</f>
        <v>59391.89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111143.13</v>
      </c>
      <c r="G168" s="41">
        <f>G146+G161+SUM(G162:G167)</f>
        <v>108252.96</v>
      </c>
      <c r="H168" s="41">
        <f>H146+H161+SUM(H162:H167)</f>
        <v>59391.89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100000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13170865.870000001</v>
      </c>
      <c r="G192" s="47">
        <f>G111+G139+G168+G191</f>
        <v>346353.9</v>
      </c>
      <c r="H192" s="47">
        <f>H111+H139+H168+H191</f>
        <v>87341.790000000008</v>
      </c>
      <c r="I192" s="47">
        <f>I111+I139+I168+I191</f>
        <v>0</v>
      </c>
      <c r="J192" s="47">
        <f>J111+J139+J191</f>
        <v>100110.05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1496643.84</v>
      </c>
      <c r="G196" s="18">
        <v>761061.51</v>
      </c>
      <c r="H196" s="18">
        <v>6779.58</v>
      </c>
      <c r="I196" s="18">
        <v>113011.3</v>
      </c>
      <c r="J196" s="18">
        <v>32052.49</v>
      </c>
      <c r="K196" s="18">
        <v>0</v>
      </c>
      <c r="L196" s="19">
        <f>SUM(F196:K196)</f>
        <v>2409548.7200000002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718615.16</v>
      </c>
      <c r="G197" s="18">
        <v>223695.72</v>
      </c>
      <c r="H197" s="18">
        <v>109983.27</v>
      </c>
      <c r="I197" s="18">
        <v>8369.4699999999993</v>
      </c>
      <c r="J197" s="18">
        <v>8529.1299999999992</v>
      </c>
      <c r="K197" s="18">
        <v>7347.65</v>
      </c>
      <c r="L197" s="19">
        <f>SUM(F197:K197)</f>
        <v>1076540.3999999997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19040.599999999999</v>
      </c>
      <c r="G199" s="18">
        <v>3202.35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22242.949999999997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244517.17</v>
      </c>
      <c r="G201" s="18">
        <v>97408.53</v>
      </c>
      <c r="H201" s="18">
        <v>2548.75</v>
      </c>
      <c r="I201" s="18">
        <v>6621.92</v>
      </c>
      <c r="J201" s="18">
        <v>1458.81</v>
      </c>
      <c r="K201" s="18">
        <v>0</v>
      </c>
      <c r="L201" s="19">
        <f t="shared" ref="L201:L207" si="0">SUM(F201:K201)</f>
        <v>352555.18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92743.51</v>
      </c>
      <c r="G202" s="18">
        <v>21521.21</v>
      </c>
      <c r="H202" s="18">
        <v>42830.91</v>
      </c>
      <c r="I202" s="18">
        <v>13132.46</v>
      </c>
      <c r="J202" s="18">
        <v>46716.56</v>
      </c>
      <c r="K202" s="18">
        <v>13875.17</v>
      </c>
      <c r="L202" s="19">
        <f t="shared" si="0"/>
        <v>230819.82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3000</v>
      </c>
      <c r="G203" s="18">
        <v>13159.52</v>
      </c>
      <c r="H203" s="18">
        <v>253769.64</v>
      </c>
      <c r="I203" s="18">
        <v>1510.28</v>
      </c>
      <c r="J203" s="18">
        <v>0</v>
      </c>
      <c r="K203" s="18">
        <v>6033.96</v>
      </c>
      <c r="L203" s="19">
        <f t="shared" si="0"/>
        <v>277473.40000000008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247731.42</v>
      </c>
      <c r="G204" s="18">
        <v>124233.22</v>
      </c>
      <c r="H204" s="18">
        <v>8760.99</v>
      </c>
      <c r="I204" s="18">
        <v>2177.75</v>
      </c>
      <c r="J204" s="18">
        <v>1400.75</v>
      </c>
      <c r="K204" s="18">
        <v>524</v>
      </c>
      <c r="L204" s="19">
        <f t="shared" si="0"/>
        <v>384828.13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152090.38</v>
      </c>
      <c r="G206" s="18">
        <v>88078.02</v>
      </c>
      <c r="H206" s="18">
        <v>240618.92</v>
      </c>
      <c r="I206" s="18">
        <v>129187.52</v>
      </c>
      <c r="J206" s="18">
        <v>0</v>
      </c>
      <c r="K206" s="18">
        <v>0</v>
      </c>
      <c r="L206" s="19">
        <f t="shared" si="0"/>
        <v>609974.84000000008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406460.8</v>
      </c>
      <c r="I207" s="18">
        <v>0</v>
      </c>
      <c r="J207" s="18">
        <v>0</v>
      </c>
      <c r="K207" s="18">
        <v>0</v>
      </c>
      <c r="L207" s="19">
        <f t="shared" si="0"/>
        <v>406460.8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2974382.0799999996</v>
      </c>
      <c r="G210" s="41">
        <f t="shared" si="1"/>
        <v>1332360.0799999998</v>
      </c>
      <c r="H210" s="41">
        <f t="shared" si="1"/>
        <v>1071752.8600000001</v>
      </c>
      <c r="I210" s="41">
        <f t="shared" si="1"/>
        <v>274010.7</v>
      </c>
      <c r="J210" s="41">
        <f t="shared" si="1"/>
        <v>90157.739999999991</v>
      </c>
      <c r="K210" s="41">
        <f t="shared" si="1"/>
        <v>27780.78</v>
      </c>
      <c r="L210" s="41">
        <f t="shared" si="1"/>
        <v>5770444.2400000002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1425595.61</v>
      </c>
      <c r="G214" s="18">
        <v>681428.72</v>
      </c>
      <c r="H214" s="18">
        <v>16155.67</v>
      </c>
      <c r="I214" s="18">
        <v>110159.69</v>
      </c>
      <c r="J214" s="18">
        <v>41059.14</v>
      </c>
      <c r="K214" s="18">
        <v>50</v>
      </c>
      <c r="L214" s="19">
        <f>SUM(F214:K214)</f>
        <v>2274448.83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785024.59</v>
      </c>
      <c r="G215" s="18">
        <v>228984.29</v>
      </c>
      <c r="H215" s="18">
        <v>163213.57999999999</v>
      </c>
      <c r="I215" s="18">
        <v>10292.120000000001</v>
      </c>
      <c r="J215" s="18">
        <v>2668.63</v>
      </c>
      <c r="K215" s="18">
        <v>5125</v>
      </c>
      <c r="L215" s="19">
        <f>SUM(F215:K215)</f>
        <v>1195308.21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40904.31</v>
      </c>
      <c r="G217" s="18">
        <v>6086.86</v>
      </c>
      <c r="H217" s="18">
        <v>0</v>
      </c>
      <c r="I217" s="18">
        <v>2115.9899999999998</v>
      </c>
      <c r="J217" s="18">
        <v>173.85</v>
      </c>
      <c r="K217" s="18">
        <v>4995</v>
      </c>
      <c r="L217" s="19">
        <f>SUM(F217:K217)</f>
        <v>54276.009999999995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186945.71</v>
      </c>
      <c r="G219" s="18">
        <v>92245.07</v>
      </c>
      <c r="H219" s="18">
        <v>152906</v>
      </c>
      <c r="I219" s="18">
        <v>3304.05</v>
      </c>
      <c r="J219" s="18">
        <v>333.64</v>
      </c>
      <c r="K219" s="18">
        <v>100</v>
      </c>
      <c r="L219" s="19">
        <f t="shared" ref="L219:L225" si="2">SUM(F219:K219)</f>
        <v>435834.47000000003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91463.63</v>
      </c>
      <c r="G220" s="18">
        <v>36584.81</v>
      </c>
      <c r="H220" s="18">
        <v>33479.06</v>
      </c>
      <c r="I220" s="18">
        <v>19023.18</v>
      </c>
      <c r="J220" s="18">
        <v>54651.94</v>
      </c>
      <c r="K220" s="18">
        <v>13354.77</v>
      </c>
      <c r="L220" s="19">
        <f t="shared" si="2"/>
        <v>248557.38999999998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3000</v>
      </c>
      <c r="G221" s="18">
        <v>13159.53</v>
      </c>
      <c r="H221" s="18">
        <v>253804.18</v>
      </c>
      <c r="I221" s="18">
        <v>1510.29</v>
      </c>
      <c r="J221" s="18">
        <v>0</v>
      </c>
      <c r="K221" s="18">
        <v>6067.21</v>
      </c>
      <c r="L221" s="19">
        <f t="shared" si="2"/>
        <v>277541.21000000002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258102.78</v>
      </c>
      <c r="G222" s="18">
        <v>88334.42</v>
      </c>
      <c r="H222" s="18">
        <v>15662.18</v>
      </c>
      <c r="I222" s="18">
        <v>1318.32</v>
      </c>
      <c r="J222" s="18">
        <v>0</v>
      </c>
      <c r="K222" s="18">
        <v>1975.93</v>
      </c>
      <c r="L222" s="19">
        <f t="shared" si="2"/>
        <v>365393.63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207463.69</v>
      </c>
      <c r="G224" s="18">
        <v>96623.22</v>
      </c>
      <c r="H224" s="18">
        <v>178898.89</v>
      </c>
      <c r="I224" s="18">
        <v>226022.78</v>
      </c>
      <c r="J224" s="18">
        <v>5587.66</v>
      </c>
      <c r="K224" s="18">
        <v>0</v>
      </c>
      <c r="L224" s="19">
        <f t="shared" si="2"/>
        <v>714596.24000000011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394960.3</v>
      </c>
      <c r="I225" s="18">
        <v>0</v>
      </c>
      <c r="J225" s="18">
        <v>0</v>
      </c>
      <c r="K225" s="18">
        <v>0</v>
      </c>
      <c r="L225" s="19">
        <f t="shared" si="2"/>
        <v>394960.3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2998500.32</v>
      </c>
      <c r="G228" s="41">
        <f>SUM(G214:G227)</f>
        <v>1243446.92</v>
      </c>
      <c r="H228" s="41">
        <f>SUM(H214:H227)</f>
        <v>1209079.8600000001</v>
      </c>
      <c r="I228" s="41">
        <f>SUM(I214:I227)</f>
        <v>373746.42000000004</v>
      </c>
      <c r="J228" s="41">
        <f>SUM(J214:J227)</f>
        <v>104474.86</v>
      </c>
      <c r="K228" s="41">
        <f t="shared" si="3"/>
        <v>31667.91</v>
      </c>
      <c r="L228" s="41">
        <f t="shared" si="3"/>
        <v>5960916.29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5972882.3999999994</v>
      </c>
      <c r="G256" s="41">
        <f t="shared" si="8"/>
        <v>2575807</v>
      </c>
      <c r="H256" s="41">
        <f t="shared" si="8"/>
        <v>2280832.7200000002</v>
      </c>
      <c r="I256" s="41">
        <f t="shared" si="8"/>
        <v>647757.12000000011</v>
      </c>
      <c r="J256" s="41">
        <f t="shared" si="8"/>
        <v>194632.59999999998</v>
      </c>
      <c r="K256" s="41">
        <f t="shared" si="8"/>
        <v>59448.69</v>
      </c>
      <c r="L256" s="41">
        <f t="shared" si="8"/>
        <v>11731360.530000001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900000</v>
      </c>
      <c r="L259" s="19">
        <f>SUM(F259:K259)</f>
        <v>900000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489375</v>
      </c>
      <c r="L260" s="19">
        <f>SUM(F260:K260)</f>
        <v>489375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1489375</v>
      </c>
      <c r="L269" s="41">
        <f t="shared" si="9"/>
        <v>1489375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5972882.3999999994</v>
      </c>
      <c r="G270" s="42">
        <f t="shared" si="11"/>
        <v>2575807</v>
      </c>
      <c r="H270" s="42">
        <f t="shared" si="11"/>
        <v>2280832.7200000002</v>
      </c>
      <c r="I270" s="42">
        <f t="shared" si="11"/>
        <v>647757.12000000011</v>
      </c>
      <c r="J270" s="42">
        <f t="shared" si="11"/>
        <v>194632.59999999998</v>
      </c>
      <c r="K270" s="42">
        <f t="shared" si="11"/>
        <v>1548823.69</v>
      </c>
      <c r="L270" s="42">
        <f t="shared" si="11"/>
        <v>13220735.530000001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10217</v>
      </c>
      <c r="G281" s="18">
        <v>1685.04</v>
      </c>
      <c r="H281" s="18">
        <v>13514.56</v>
      </c>
      <c r="I281" s="18">
        <v>1743.82</v>
      </c>
      <c r="J281" s="18">
        <v>0</v>
      </c>
      <c r="K281" s="18">
        <v>0</v>
      </c>
      <c r="L281" s="19">
        <f t="shared" si="12"/>
        <v>27160.42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901.87</v>
      </c>
      <c r="L282" s="19">
        <f t="shared" si="12"/>
        <v>901.87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10217</v>
      </c>
      <c r="G289" s="42">
        <f t="shared" si="13"/>
        <v>1685.04</v>
      </c>
      <c r="H289" s="42">
        <f t="shared" si="13"/>
        <v>13514.56</v>
      </c>
      <c r="I289" s="42">
        <f t="shared" si="13"/>
        <v>1743.82</v>
      </c>
      <c r="J289" s="42">
        <f t="shared" si="13"/>
        <v>0</v>
      </c>
      <c r="K289" s="42">
        <f t="shared" si="13"/>
        <v>901.87</v>
      </c>
      <c r="L289" s="41">
        <f t="shared" si="13"/>
        <v>28062.289999999997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27451.98</v>
      </c>
      <c r="G297" s="18">
        <v>2068.36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29520.34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15850</v>
      </c>
      <c r="G300" s="18">
        <v>2910.69</v>
      </c>
      <c r="H300" s="18">
        <v>11538.73</v>
      </c>
      <c r="I300" s="18">
        <v>0</v>
      </c>
      <c r="J300" s="18">
        <v>0</v>
      </c>
      <c r="K300" s="18">
        <v>0</v>
      </c>
      <c r="L300" s="19">
        <f t="shared" si="14"/>
        <v>30299.42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1030.18</v>
      </c>
      <c r="L301" s="19">
        <f t="shared" si="14"/>
        <v>1030.18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2000</v>
      </c>
      <c r="K304" s="18">
        <v>0</v>
      </c>
      <c r="L304" s="19">
        <f t="shared" si="14"/>
        <v>2000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/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43301.979999999996</v>
      </c>
      <c r="G308" s="42">
        <f t="shared" si="15"/>
        <v>4979.05</v>
      </c>
      <c r="H308" s="42">
        <f t="shared" si="15"/>
        <v>11538.73</v>
      </c>
      <c r="I308" s="42">
        <f t="shared" si="15"/>
        <v>0</v>
      </c>
      <c r="J308" s="42">
        <f t="shared" si="15"/>
        <v>2000</v>
      </c>
      <c r="K308" s="42">
        <f t="shared" si="15"/>
        <v>1030.18</v>
      </c>
      <c r="L308" s="41">
        <f t="shared" si="15"/>
        <v>62849.939999999995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0</v>
      </c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53518.979999999996</v>
      </c>
      <c r="G337" s="41">
        <f t="shared" si="20"/>
        <v>6664.09</v>
      </c>
      <c r="H337" s="41">
        <f t="shared" si="20"/>
        <v>25053.29</v>
      </c>
      <c r="I337" s="41">
        <f t="shared" si="20"/>
        <v>1743.82</v>
      </c>
      <c r="J337" s="41">
        <f t="shared" si="20"/>
        <v>2000</v>
      </c>
      <c r="K337" s="41">
        <f t="shared" si="20"/>
        <v>1932.0500000000002</v>
      </c>
      <c r="L337" s="41">
        <f t="shared" si="20"/>
        <v>90912.23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53518.979999999996</v>
      </c>
      <c r="G351" s="41">
        <f>G337</f>
        <v>6664.09</v>
      </c>
      <c r="H351" s="41">
        <f>H337</f>
        <v>25053.29</v>
      </c>
      <c r="I351" s="41">
        <f>I337</f>
        <v>1743.82</v>
      </c>
      <c r="J351" s="41">
        <f>J337</f>
        <v>2000</v>
      </c>
      <c r="K351" s="47">
        <f>K337+K350</f>
        <v>1932.0500000000002</v>
      </c>
      <c r="L351" s="41">
        <f>L337+L350</f>
        <v>90912.23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0</v>
      </c>
      <c r="G357" s="18">
        <v>0</v>
      </c>
      <c r="H357" s="18">
        <v>171042.74</v>
      </c>
      <c r="I357" s="18">
        <v>282.24</v>
      </c>
      <c r="J357" s="18">
        <v>10000</v>
      </c>
      <c r="K357" s="18">
        <v>1327.47</v>
      </c>
      <c r="L357" s="13">
        <f>SUM(F357:K357)</f>
        <v>182652.44999999998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168392.25</v>
      </c>
      <c r="I358" s="18">
        <v>0</v>
      </c>
      <c r="J358" s="18">
        <v>0</v>
      </c>
      <c r="K358" s="18">
        <v>1166.57</v>
      </c>
      <c r="L358" s="19">
        <f>SUM(F358:K358)</f>
        <v>169558.82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339434.99</v>
      </c>
      <c r="I361" s="47">
        <f t="shared" si="22"/>
        <v>282.24</v>
      </c>
      <c r="J361" s="47">
        <f t="shared" si="22"/>
        <v>10000</v>
      </c>
      <c r="K361" s="47">
        <f t="shared" si="22"/>
        <v>2494.04</v>
      </c>
      <c r="L361" s="47">
        <f t="shared" si="22"/>
        <v>352211.27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282.24</v>
      </c>
      <c r="G367" s="63">
        <v>0</v>
      </c>
      <c r="H367" s="63"/>
      <c r="I367" s="56">
        <f>SUM(F367:H367)</f>
        <v>282.24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282.24</v>
      </c>
      <c r="G368" s="47">
        <f>SUM(G366:G367)</f>
        <v>0</v>
      </c>
      <c r="H368" s="47">
        <f>SUM(H366:H367)</f>
        <v>0</v>
      </c>
      <c r="I368" s="47">
        <f>SUM(I366:I367)</f>
        <v>282.24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16.04</v>
      </c>
      <c r="I388" s="18"/>
      <c r="J388" s="24" t="s">
        <v>289</v>
      </c>
      <c r="K388" s="24" t="s">
        <v>289</v>
      </c>
      <c r="L388" s="56">
        <f t="shared" si="25"/>
        <v>16.04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16.04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16.04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75000</v>
      </c>
      <c r="H395" s="18">
        <v>54.82</v>
      </c>
      <c r="I395" s="18"/>
      <c r="J395" s="24" t="s">
        <v>289</v>
      </c>
      <c r="K395" s="24" t="s">
        <v>289</v>
      </c>
      <c r="L395" s="56">
        <f t="shared" si="26"/>
        <v>75054.820000000007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12.28</v>
      </c>
      <c r="I396" s="18"/>
      <c r="J396" s="24" t="s">
        <v>289</v>
      </c>
      <c r="K396" s="24" t="s">
        <v>289</v>
      </c>
      <c r="L396" s="56">
        <f t="shared" si="26"/>
        <v>25012.28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26.91</v>
      </c>
      <c r="I399" s="18"/>
      <c r="J399" s="24" t="s">
        <v>289</v>
      </c>
      <c r="K399" s="24" t="s">
        <v>289</v>
      </c>
      <c r="L399" s="56">
        <f t="shared" si="26"/>
        <v>26.91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94.009999999999991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100094.01000000001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110.04999999999998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100110.05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16712</v>
      </c>
      <c r="I421" s="18">
        <v>24000</v>
      </c>
      <c r="J421" s="18"/>
      <c r="K421" s="18"/>
      <c r="L421" s="56">
        <f t="shared" si="29"/>
        <v>40712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16712</v>
      </c>
      <c r="I426" s="47">
        <f t="shared" si="30"/>
        <v>24000</v>
      </c>
      <c r="J426" s="47">
        <f t="shared" si="30"/>
        <v>0</v>
      </c>
      <c r="K426" s="47">
        <f t="shared" si="30"/>
        <v>0</v>
      </c>
      <c r="L426" s="47">
        <f t="shared" si="30"/>
        <v>40712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16712</v>
      </c>
      <c r="I433" s="47">
        <f t="shared" si="32"/>
        <v>24000</v>
      </c>
      <c r="J433" s="47">
        <f t="shared" si="32"/>
        <v>0</v>
      </c>
      <c r="K433" s="47">
        <f t="shared" si="32"/>
        <v>0</v>
      </c>
      <c r="L433" s="47">
        <f t="shared" si="32"/>
        <v>40712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410441.42</v>
      </c>
      <c r="H438" s="18"/>
      <c r="I438" s="56">
        <f t="shared" ref="I438:I444" si="33">SUM(F438:H438)</f>
        <v>410441.42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410441.42</v>
      </c>
      <c r="H445" s="13">
        <f>SUM(H438:H444)</f>
        <v>0</v>
      </c>
      <c r="I445" s="13">
        <f>SUM(I438:I444)</f>
        <v>410441.42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>
        <v>24000</v>
      </c>
      <c r="H448" s="18"/>
      <c r="I448" s="56">
        <f>SUM(F448:H448)</f>
        <v>24000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24000</v>
      </c>
      <c r="H451" s="72">
        <f>SUM(H447:H450)</f>
        <v>0</v>
      </c>
      <c r="I451" s="72">
        <f>SUM(I447:I450)</f>
        <v>24000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386441.42</v>
      </c>
      <c r="H458" s="18"/>
      <c r="I458" s="56">
        <f t="shared" si="34"/>
        <v>386441.42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386441.42</v>
      </c>
      <c r="H459" s="83">
        <f>SUM(H453:H458)</f>
        <v>0</v>
      </c>
      <c r="I459" s="83">
        <f>SUM(I453:I458)</f>
        <v>386441.42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410441.42</v>
      </c>
      <c r="H460" s="42">
        <f>H451+H459</f>
        <v>0</v>
      </c>
      <c r="I460" s="42">
        <f>I451+I459</f>
        <v>410441.42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199221.47</v>
      </c>
      <c r="G464" s="18">
        <v>53404.56</v>
      </c>
      <c r="H464" s="18">
        <v>3570.44</v>
      </c>
      <c r="I464" s="18">
        <v>0</v>
      </c>
      <c r="J464" s="18">
        <v>327043.37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13170865.869999999</v>
      </c>
      <c r="G467" s="18">
        <v>346353.9</v>
      </c>
      <c r="H467" s="18">
        <v>87341.79</v>
      </c>
      <c r="I467" s="18">
        <v>0</v>
      </c>
      <c r="J467" s="18">
        <v>100110.05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-804.37</v>
      </c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13170865.869999999</v>
      </c>
      <c r="G469" s="53">
        <f>SUM(G467:G468)</f>
        <v>345549.53</v>
      </c>
      <c r="H469" s="53">
        <f>SUM(H467:H468)</f>
        <v>87341.79</v>
      </c>
      <c r="I469" s="53">
        <f>SUM(I467:I468)</f>
        <v>0</v>
      </c>
      <c r="J469" s="53">
        <f>SUM(J467:J468)</f>
        <v>100110.05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13220735.529999999</v>
      </c>
      <c r="G471" s="18">
        <v>352211.27</v>
      </c>
      <c r="H471" s="18">
        <v>90912.23</v>
      </c>
      <c r="I471" s="18">
        <v>0</v>
      </c>
      <c r="J471" s="18">
        <v>40712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-0.25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13220735.279999999</v>
      </c>
      <c r="G473" s="53">
        <f>SUM(G471:G472)</f>
        <v>352211.27</v>
      </c>
      <c r="H473" s="53">
        <f>SUM(H471:H472)</f>
        <v>90912.23</v>
      </c>
      <c r="I473" s="53">
        <f>SUM(I471:I472)</f>
        <v>0</v>
      </c>
      <c r="J473" s="53">
        <f>SUM(J471:J472)</f>
        <v>40712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149352.06000000052</v>
      </c>
      <c r="G475" s="53">
        <f>(G464+G469)- G473</f>
        <v>46742.820000000007</v>
      </c>
      <c r="H475" s="53">
        <f>(H464+H469)- H473</f>
        <v>0</v>
      </c>
      <c r="I475" s="53">
        <f>(I464+I469)- I473</f>
        <v>0</v>
      </c>
      <c r="J475" s="53">
        <f>(J464+J469)- J473</f>
        <v>386441.42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913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912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18000000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12600000</v>
      </c>
      <c r="G494" s="18"/>
      <c r="H494" s="18"/>
      <c r="I494" s="18"/>
      <c r="J494" s="18"/>
      <c r="K494" s="53">
        <f>SUM(F494:J494)</f>
        <v>12600000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300000</v>
      </c>
      <c r="H495" s="18"/>
      <c r="I495" s="18"/>
      <c r="J495" s="18"/>
      <c r="K495" s="53">
        <f t="shared" ref="K495:K502" si="35">SUM(F495:J495)</f>
        <v>300000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900000</v>
      </c>
      <c r="G496" s="18">
        <v>0</v>
      </c>
      <c r="H496" s="18"/>
      <c r="I496" s="18"/>
      <c r="J496" s="18"/>
      <c r="K496" s="53">
        <f t="shared" si="35"/>
        <v>900000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11700000</v>
      </c>
      <c r="G497" s="204">
        <v>300000</v>
      </c>
      <c r="H497" s="204"/>
      <c r="I497" s="204"/>
      <c r="J497" s="204"/>
      <c r="K497" s="205">
        <f t="shared" si="35"/>
        <v>12000000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3096000</v>
      </c>
      <c r="G498" s="18">
        <v>59400</v>
      </c>
      <c r="H498" s="18"/>
      <c r="I498" s="18"/>
      <c r="J498" s="18"/>
      <c r="K498" s="53">
        <f t="shared" si="35"/>
        <v>3155400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14796000</v>
      </c>
      <c r="G499" s="42">
        <f>SUM(G497:G498)</f>
        <v>359400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15155400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900000</v>
      </c>
      <c r="G500" s="204">
        <v>55000</v>
      </c>
      <c r="H500" s="204"/>
      <c r="I500" s="204"/>
      <c r="J500" s="204"/>
      <c r="K500" s="205">
        <f t="shared" si="35"/>
        <v>955000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454500</v>
      </c>
      <c r="G501" s="18">
        <v>4400</v>
      </c>
      <c r="H501" s="18"/>
      <c r="I501" s="18"/>
      <c r="J501" s="18"/>
      <c r="K501" s="53">
        <f t="shared" si="35"/>
        <v>458900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1354500</v>
      </c>
      <c r="G502" s="42">
        <f>SUM(G500:G501)</f>
        <v>59400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1413900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718615.16</v>
      </c>
      <c r="G520" s="18">
        <v>223695.72</v>
      </c>
      <c r="H520" s="18">
        <v>109983.27</v>
      </c>
      <c r="I520" s="18">
        <v>8369.4699999999993</v>
      </c>
      <c r="J520" s="18">
        <v>8529.1299999999992</v>
      </c>
      <c r="K520" s="18">
        <v>7347.65</v>
      </c>
      <c r="L520" s="88">
        <f>SUM(F520:K520)</f>
        <v>1076540.3999999997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785024.59</v>
      </c>
      <c r="G521" s="18">
        <v>228984.29</v>
      </c>
      <c r="H521" s="18">
        <v>163213.57999999999</v>
      </c>
      <c r="I521" s="18">
        <v>10292.120000000001</v>
      </c>
      <c r="J521" s="18">
        <v>2668.63</v>
      </c>
      <c r="K521" s="18">
        <v>5125</v>
      </c>
      <c r="L521" s="88">
        <f>SUM(F521:K521)</f>
        <v>1195308.21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1503639.75</v>
      </c>
      <c r="G523" s="108">
        <f t="shared" ref="G523:L523" si="36">SUM(G520:G522)</f>
        <v>452680.01</v>
      </c>
      <c r="H523" s="108">
        <f t="shared" si="36"/>
        <v>273196.84999999998</v>
      </c>
      <c r="I523" s="108">
        <f t="shared" si="36"/>
        <v>18661.59</v>
      </c>
      <c r="J523" s="108">
        <f t="shared" si="36"/>
        <v>11197.759999999998</v>
      </c>
      <c r="K523" s="108">
        <f t="shared" si="36"/>
        <v>12472.65</v>
      </c>
      <c r="L523" s="89">
        <f t="shared" si="36"/>
        <v>2271848.6099999994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107541.67</v>
      </c>
      <c r="G525" s="18">
        <v>47901.13</v>
      </c>
      <c r="H525" s="18">
        <v>450</v>
      </c>
      <c r="I525" s="18">
        <v>4045.37</v>
      </c>
      <c r="J525" s="18">
        <v>1458.81</v>
      </c>
      <c r="K525" s="18">
        <v>0</v>
      </c>
      <c r="L525" s="88">
        <f>SUM(F525:K525)</f>
        <v>161396.97999999998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43994.21</v>
      </c>
      <c r="G526" s="18">
        <v>29875.19</v>
      </c>
      <c r="H526" s="18">
        <v>150200</v>
      </c>
      <c r="I526" s="18">
        <v>634.03</v>
      </c>
      <c r="J526" s="18">
        <v>333.64</v>
      </c>
      <c r="K526" s="18">
        <v>0</v>
      </c>
      <c r="L526" s="88">
        <f>SUM(F526:K526)</f>
        <v>225037.07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151535.88</v>
      </c>
      <c r="G528" s="89">
        <f t="shared" ref="G528:L528" si="37">SUM(G525:G527)</f>
        <v>77776.319999999992</v>
      </c>
      <c r="H528" s="89">
        <f t="shared" si="37"/>
        <v>150650</v>
      </c>
      <c r="I528" s="89">
        <f t="shared" si="37"/>
        <v>4679.3999999999996</v>
      </c>
      <c r="J528" s="89">
        <f t="shared" si="37"/>
        <v>1792.4499999999998</v>
      </c>
      <c r="K528" s="89">
        <f t="shared" si="37"/>
        <v>0</v>
      </c>
      <c r="L528" s="89">
        <f t="shared" si="37"/>
        <v>386434.05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12623.29</v>
      </c>
      <c r="G530" s="18">
        <v>5391.13</v>
      </c>
      <c r="H530" s="18">
        <v>28.47</v>
      </c>
      <c r="I530" s="18"/>
      <c r="J530" s="18"/>
      <c r="K530" s="18">
        <v>118.2</v>
      </c>
      <c r="L530" s="88">
        <f>SUM(F530:K530)</f>
        <v>18161.090000000004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29454.33</v>
      </c>
      <c r="G531" s="18">
        <v>12579.3</v>
      </c>
      <c r="H531" s="18">
        <v>66.42</v>
      </c>
      <c r="I531" s="18"/>
      <c r="J531" s="18"/>
      <c r="K531" s="18">
        <v>275.8</v>
      </c>
      <c r="L531" s="88">
        <f>SUM(F531:K531)</f>
        <v>42375.850000000006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42077.62</v>
      </c>
      <c r="G533" s="89">
        <f t="shared" ref="G533:L533" si="38">SUM(G530:G532)</f>
        <v>17970.43</v>
      </c>
      <c r="H533" s="89">
        <f t="shared" si="38"/>
        <v>94.89</v>
      </c>
      <c r="I533" s="89">
        <f t="shared" si="38"/>
        <v>0</v>
      </c>
      <c r="J533" s="89">
        <f t="shared" si="38"/>
        <v>0</v>
      </c>
      <c r="K533" s="89">
        <f t="shared" si="38"/>
        <v>394</v>
      </c>
      <c r="L533" s="89">
        <f t="shared" si="38"/>
        <v>60536.94000000001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120</v>
      </c>
      <c r="I535" s="18"/>
      <c r="J535" s="18"/>
      <c r="K535" s="18"/>
      <c r="L535" s="88">
        <f>SUM(F535:K535)</f>
        <v>120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120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120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168573</v>
      </c>
      <c r="I540" s="18"/>
      <c r="J540" s="18"/>
      <c r="K540" s="18"/>
      <c r="L540" s="88">
        <f>SUM(F540:K540)</f>
        <v>168573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148811</v>
      </c>
      <c r="I541" s="18"/>
      <c r="J541" s="18"/>
      <c r="K541" s="18"/>
      <c r="L541" s="88">
        <f>SUM(F541:K541)</f>
        <v>148811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317384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317384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1697253.25</v>
      </c>
      <c r="G544" s="89">
        <f t="shared" ref="G544:L544" si="41">G523+G528+G533+G538+G543</f>
        <v>548426.76</v>
      </c>
      <c r="H544" s="89">
        <f t="shared" si="41"/>
        <v>741445.74</v>
      </c>
      <c r="I544" s="89">
        <f t="shared" si="41"/>
        <v>23340.989999999998</v>
      </c>
      <c r="J544" s="89">
        <f t="shared" si="41"/>
        <v>12990.21</v>
      </c>
      <c r="K544" s="89">
        <f t="shared" si="41"/>
        <v>12866.65</v>
      </c>
      <c r="L544" s="89">
        <f t="shared" si="41"/>
        <v>3036323.5999999992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1076540.3999999997</v>
      </c>
      <c r="G548" s="87">
        <f>L525</f>
        <v>161396.97999999998</v>
      </c>
      <c r="H548" s="87">
        <f>L530</f>
        <v>18161.090000000004</v>
      </c>
      <c r="I548" s="87">
        <f>L535</f>
        <v>120</v>
      </c>
      <c r="J548" s="87">
        <f>L540</f>
        <v>168573</v>
      </c>
      <c r="K548" s="87">
        <f>SUM(F548:J548)</f>
        <v>1424791.4699999997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1195308.21</v>
      </c>
      <c r="G549" s="87">
        <f>L526</f>
        <v>225037.07</v>
      </c>
      <c r="H549" s="87">
        <f>L531</f>
        <v>42375.850000000006</v>
      </c>
      <c r="I549" s="87">
        <f>L536</f>
        <v>0</v>
      </c>
      <c r="J549" s="87">
        <f>L541</f>
        <v>148811</v>
      </c>
      <c r="K549" s="87">
        <f>SUM(F549:J549)</f>
        <v>1611532.1300000001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2271848.6099999994</v>
      </c>
      <c r="G551" s="89">
        <f t="shared" si="42"/>
        <v>386434.05</v>
      </c>
      <c r="H551" s="89">
        <f t="shared" si="42"/>
        <v>60536.94000000001</v>
      </c>
      <c r="I551" s="89">
        <f t="shared" si="42"/>
        <v>120</v>
      </c>
      <c r="J551" s="89">
        <f t="shared" si="42"/>
        <v>317384</v>
      </c>
      <c r="K551" s="89">
        <f t="shared" si="42"/>
        <v>3036323.5999999996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258.37</v>
      </c>
      <c r="I561" s="18">
        <v>0</v>
      </c>
      <c r="J561" s="18">
        <v>0</v>
      </c>
      <c r="K561" s="18">
        <v>0</v>
      </c>
      <c r="L561" s="88">
        <f>SUM(F561:K561)</f>
        <v>258.37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258.36</v>
      </c>
      <c r="I562" s="18">
        <v>0</v>
      </c>
      <c r="J562" s="18">
        <v>0</v>
      </c>
      <c r="K562" s="18">
        <v>0</v>
      </c>
      <c r="L562" s="88">
        <f>SUM(F562:K562)</f>
        <v>258.36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516.73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516.73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19500.05</v>
      </c>
      <c r="G566" s="18">
        <v>10895.95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30396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19499.830000000002</v>
      </c>
      <c r="G567" s="18">
        <v>10895.33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30395.160000000003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38999.880000000005</v>
      </c>
      <c r="G569" s="193">
        <f t="shared" ref="G569:L569" si="45">SUM(G566:G568)</f>
        <v>21791.279999999999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60791.16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38999.880000000005</v>
      </c>
      <c r="G570" s="89">
        <f t="shared" ref="G570:L570" si="46">G559+G564+G569</f>
        <v>21791.279999999999</v>
      </c>
      <c r="H570" s="89">
        <f t="shared" si="46"/>
        <v>516.73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61307.890000000007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59197.16</v>
      </c>
      <c r="G581" s="18">
        <v>103092.93</v>
      </c>
      <c r="H581" s="18"/>
      <c r="I581" s="87">
        <f t="shared" si="47"/>
        <v>162290.09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15300</v>
      </c>
      <c r="H582" s="18"/>
      <c r="I582" s="87">
        <f t="shared" si="47"/>
        <v>15300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>
        <v>0</v>
      </c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232766.3</v>
      </c>
      <c r="I590" s="18">
        <v>234676.29</v>
      </c>
      <c r="J590" s="18"/>
      <c r="K590" s="104">
        <f t="shared" ref="K590:K596" si="48">SUM(H590:J590)</f>
        <v>467442.58999999997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168573</v>
      </c>
      <c r="I591" s="18">
        <v>148811</v>
      </c>
      <c r="J591" s="18"/>
      <c r="K591" s="104">
        <f t="shared" si="48"/>
        <v>317384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7996.76</v>
      </c>
      <c r="J593" s="18"/>
      <c r="K593" s="104">
        <f t="shared" si="48"/>
        <v>7996.76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5121.5</v>
      </c>
      <c r="I594" s="18">
        <v>3476.25</v>
      </c>
      <c r="J594" s="18"/>
      <c r="K594" s="104">
        <f t="shared" si="48"/>
        <v>8597.75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406460.8</v>
      </c>
      <c r="I597" s="108">
        <f>SUM(I590:I596)</f>
        <v>394960.30000000005</v>
      </c>
      <c r="J597" s="108">
        <f>SUM(J590:J596)</f>
        <v>0</v>
      </c>
      <c r="K597" s="108">
        <f>SUM(K590:K596)</f>
        <v>801421.1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90157.74</v>
      </c>
      <c r="I603" s="18">
        <v>106474.86</v>
      </c>
      <c r="J603" s="18"/>
      <c r="K603" s="104">
        <f>SUM(H603:J603)</f>
        <v>196632.6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90157.74</v>
      </c>
      <c r="I604" s="108">
        <f>SUM(I601:I603)</f>
        <v>106474.86</v>
      </c>
      <c r="J604" s="108">
        <f>SUM(J601:J603)</f>
        <v>0</v>
      </c>
      <c r="K604" s="108">
        <f>SUM(K601:K603)</f>
        <v>196632.6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17342.5</v>
      </c>
      <c r="G610" s="18">
        <v>2747.49</v>
      </c>
      <c r="H610" s="18">
        <v>1500</v>
      </c>
      <c r="I610" s="18">
        <v>0</v>
      </c>
      <c r="J610" s="18">
        <v>0</v>
      </c>
      <c r="K610" s="18">
        <v>0</v>
      </c>
      <c r="L610" s="88">
        <f>SUM(F610:K610)</f>
        <v>21589.989999999998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9511.25</v>
      </c>
      <c r="G611" s="18">
        <v>1763.83</v>
      </c>
      <c r="H611" s="18">
        <v>2200</v>
      </c>
      <c r="I611" s="18">
        <v>0</v>
      </c>
      <c r="J611" s="18">
        <v>0</v>
      </c>
      <c r="K611" s="18"/>
      <c r="L611" s="88">
        <f>SUM(F611:K611)</f>
        <v>13475.08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26853.75</v>
      </c>
      <c r="G613" s="108">
        <f t="shared" si="49"/>
        <v>4511.32</v>
      </c>
      <c r="H613" s="108">
        <f t="shared" si="49"/>
        <v>3700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35065.07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305907.20999999996</v>
      </c>
      <c r="H616" s="109">
        <f>SUM(F51)</f>
        <v>305907.20999999996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63532.110000000008</v>
      </c>
      <c r="H617" s="109">
        <f>SUM(G51)</f>
        <v>63532.11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410441.42</v>
      </c>
      <c r="H620" s="109">
        <f>SUM(J51)</f>
        <v>410441.42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149352.06</v>
      </c>
      <c r="H621" s="109">
        <f>F475</f>
        <v>149352.06000000052</v>
      </c>
      <c r="I621" s="121" t="s">
        <v>101</v>
      </c>
      <c r="J621" s="109">
        <f t="shared" ref="J621:J654" si="50">G621-H621</f>
        <v>-5.2386894822120667E-10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46742.82</v>
      </c>
      <c r="H622" s="109">
        <f>G475</f>
        <v>46742.820000000007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386441.42</v>
      </c>
      <c r="H625" s="109">
        <f>J475</f>
        <v>386441.42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13170865.870000001</v>
      </c>
      <c r="H626" s="104">
        <f>SUM(F467)</f>
        <v>13170865.869999999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346353.9</v>
      </c>
      <c r="H627" s="104">
        <f>SUM(G467)</f>
        <v>346353.9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87341.790000000008</v>
      </c>
      <c r="H628" s="104">
        <f>SUM(H467)</f>
        <v>87341.79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100110.05</v>
      </c>
      <c r="H630" s="104">
        <f>SUM(J467)</f>
        <v>100110.05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13220735.530000001</v>
      </c>
      <c r="H631" s="104">
        <f>SUM(F471)</f>
        <v>13220735.529999999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90912.23</v>
      </c>
      <c r="H632" s="104">
        <f>SUM(H471)</f>
        <v>90912.23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282.24</v>
      </c>
      <c r="H633" s="104">
        <f>I368</f>
        <v>282.24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352211.27</v>
      </c>
      <c r="H634" s="104">
        <f>SUM(G471)</f>
        <v>352211.27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100110.05</v>
      </c>
      <c r="H636" s="164">
        <f>SUM(J467)</f>
        <v>100110.05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40712</v>
      </c>
      <c r="H637" s="164">
        <f>SUM(J471)</f>
        <v>40712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410441.42</v>
      </c>
      <c r="H639" s="104">
        <f>SUM(G460)</f>
        <v>410441.42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410441.42</v>
      </c>
      <c r="H641" s="104">
        <f>SUM(I460)</f>
        <v>410441.42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110.05</v>
      </c>
      <c r="H643" s="104">
        <f>H407</f>
        <v>110.04999999999998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100110.05</v>
      </c>
      <c r="H645" s="104">
        <f>L407</f>
        <v>100110.05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801421.1</v>
      </c>
      <c r="H646" s="104">
        <f>L207+L225+L243</f>
        <v>801421.1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196632.6</v>
      </c>
      <c r="H647" s="104">
        <f>(J256+J337)-(J254+J335)</f>
        <v>196632.59999999998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406460.8</v>
      </c>
      <c r="H648" s="104">
        <f>H597</f>
        <v>406460.8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394960.3</v>
      </c>
      <c r="H649" s="104">
        <f>I597</f>
        <v>394960.30000000005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5981158.9800000004</v>
      </c>
      <c r="G659" s="19">
        <f>(L228+L308+L358)</f>
        <v>6193325.0500000007</v>
      </c>
      <c r="H659" s="19">
        <f>(L246+L327+L359)</f>
        <v>0</v>
      </c>
      <c r="I659" s="19">
        <f>SUM(F659:H659)</f>
        <v>12174484.030000001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121159.95853959471</v>
      </c>
      <c r="G660" s="19">
        <f>(L358/IF(SUM(L357:L359)=0,1,SUM(L357:L359))*(SUM(G96:G109)))</f>
        <v>112474.4814604053</v>
      </c>
      <c r="H660" s="19">
        <f>(L359/IF(SUM(L357:L359)=0,1,SUM(L357:L359))*(SUM(G96:G109)))</f>
        <v>0</v>
      </c>
      <c r="I660" s="19">
        <f>SUM(F660:H660)</f>
        <v>233634.44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406460.8</v>
      </c>
      <c r="G661" s="19">
        <f>(L225+L305)-(J225+J305)</f>
        <v>394960.3</v>
      </c>
      <c r="H661" s="19">
        <f>(L243+L324)-(J243+J324)</f>
        <v>0</v>
      </c>
      <c r="I661" s="19">
        <f>SUM(F661:H661)</f>
        <v>801421.1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170944.89</v>
      </c>
      <c r="G662" s="199">
        <f>SUM(G574:G586)+SUM(I601:I603)+L611</f>
        <v>238342.86999999997</v>
      </c>
      <c r="H662" s="199">
        <f>SUM(H574:H586)+SUM(J601:J603)+L612</f>
        <v>0</v>
      </c>
      <c r="I662" s="19">
        <f>SUM(F662:H662)</f>
        <v>409287.76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5282593.3314604061</v>
      </c>
      <c r="G663" s="19">
        <f>G659-SUM(G660:G662)</f>
        <v>5447547.3985395953</v>
      </c>
      <c r="H663" s="19">
        <f>H659-SUM(H660:H662)</f>
        <v>0</v>
      </c>
      <c r="I663" s="19">
        <f>I659-SUM(I660:I662)</f>
        <v>10730140.73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507.21</v>
      </c>
      <c r="G664" s="248">
        <v>466.3</v>
      </c>
      <c r="H664" s="248"/>
      <c r="I664" s="19">
        <f>SUM(F664:H664)</f>
        <v>973.51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10415</v>
      </c>
      <c r="G666" s="19">
        <f>ROUND(G663/G664,2)</f>
        <v>11682.49</v>
      </c>
      <c r="H666" s="19" t="e">
        <f>ROUND(H663/H664,2)</f>
        <v>#DIV/0!</v>
      </c>
      <c r="I666" s="19">
        <f>ROUND(I663/I664,2)</f>
        <v>11022.12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10415</v>
      </c>
      <c r="G671" s="19">
        <f>ROUND((G663+G668)/(G664+G669),2)</f>
        <v>11682.49</v>
      </c>
      <c r="H671" s="19" t="e">
        <f>ROUND((H663+H668)/(H664+H669),2)</f>
        <v>#DIV/0!</v>
      </c>
      <c r="I671" s="19">
        <f>ROUND((I663+I668)/(I664+I669),2)</f>
        <v>11022.12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75" header="0.5" footer="0.5"/>
  <pageSetup scale="85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9" sqref="B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WEARE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2922239.45</v>
      </c>
      <c r="C9" s="229">
        <f>'DOE25'!G196+'DOE25'!G214+'DOE25'!G232+'DOE25'!G275+'DOE25'!G294+'DOE25'!G313</f>
        <v>1442490.23</v>
      </c>
    </row>
    <row r="10" spans="1:3" x14ac:dyDescent="0.2">
      <c r="A10" t="s">
        <v>779</v>
      </c>
      <c r="B10" s="240">
        <v>2692266.52</v>
      </c>
      <c r="C10" s="240">
        <v>1420728.77</v>
      </c>
    </row>
    <row r="11" spans="1:3" x14ac:dyDescent="0.2">
      <c r="A11" t="s">
        <v>780</v>
      </c>
      <c r="B11" s="240">
        <v>96407.86</v>
      </c>
      <c r="C11" s="240">
        <v>11548.13</v>
      </c>
    </row>
    <row r="12" spans="1:3" x14ac:dyDescent="0.2">
      <c r="A12" t="s">
        <v>781</v>
      </c>
      <c r="B12" s="240">
        <v>133565.07</v>
      </c>
      <c r="C12" s="240">
        <v>10213.33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2922239.4499999997</v>
      </c>
      <c r="C13" s="231">
        <f>SUM(C10:C12)</f>
        <v>1442490.23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1503639.75</v>
      </c>
      <c r="C18" s="229">
        <f>'DOE25'!G197+'DOE25'!G215+'DOE25'!G233+'DOE25'!G276+'DOE25'!G295+'DOE25'!G314</f>
        <v>452680.01</v>
      </c>
    </row>
    <row r="19" spans="1:3" x14ac:dyDescent="0.2">
      <c r="A19" t="s">
        <v>779</v>
      </c>
      <c r="B19" s="240">
        <v>694286.49</v>
      </c>
      <c r="C19" s="240">
        <v>364913.44</v>
      </c>
    </row>
    <row r="20" spans="1:3" x14ac:dyDescent="0.2">
      <c r="A20" t="s">
        <v>780</v>
      </c>
      <c r="B20" s="240">
        <v>761504.37</v>
      </c>
      <c r="C20" s="240">
        <v>70765.59</v>
      </c>
    </row>
    <row r="21" spans="1:3" x14ac:dyDescent="0.2">
      <c r="A21" t="s">
        <v>781</v>
      </c>
      <c r="B21" s="240">
        <v>47848.89</v>
      </c>
      <c r="C21" s="240">
        <v>17000.98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1503639.7499999998</v>
      </c>
      <c r="C22" s="231">
        <f>SUM(C19:C21)</f>
        <v>452680.01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87396.89</v>
      </c>
      <c r="C36" s="235">
        <f>'DOE25'!G199+'DOE25'!G217+'DOE25'!G235+'DOE25'!G278+'DOE25'!G297+'DOE25'!G316</f>
        <v>11357.57</v>
      </c>
    </row>
    <row r="37" spans="1:3" x14ac:dyDescent="0.2">
      <c r="A37" t="s">
        <v>779</v>
      </c>
      <c r="B37" s="240">
        <v>43266.19</v>
      </c>
      <c r="C37" s="240">
        <v>7609.57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44130.7</v>
      </c>
      <c r="C39" s="240">
        <v>3748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87396.89</v>
      </c>
      <c r="C40" s="231">
        <f>SUM(C37:C39)</f>
        <v>11357.57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WEARE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7032365.1200000001</v>
      </c>
      <c r="D5" s="20">
        <f>SUM('DOE25'!L196:L199)+SUM('DOE25'!L214:L217)+SUM('DOE25'!L232:L235)-F5-G5</f>
        <v>6930364.2299999995</v>
      </c>
      <c r="E5" s="243"/>
      <c r="F5" s="255">
        <f>SUM('DOE25'!J196:J199)+SUM('DOE25'!J214:J217)+SUM('DOE25'!J232:J235)</f>
        <v>84483.239999999991</v>
      </c>
      <c r="G5" s="53">
        <f>SUM('DOE25'!K196:K199)+SUM('DOE25'!K214:K217)+SUM('DOE25'!K232:K235)</f>
        <v>17517.650000000001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788389.65</v>
      </c>
      <c r="D6" s="20">
        <f>'DOE25'!L201+'DOE25'!L219+'DOE25'!L237-F6-G6</f>
        <v>786497.20000000007</v>
      </c>
      <c r="E6" s="243"/>
      <c r="F6" s="255">
        <f>'DOE25'!J201+'DOE25'!J219+'DOE25'!J237</f>
        <v>1792.4499999999998</v>
      </c>
      <c r="G6" s="53">
        <f>'DOE25'!K201+'DOE25'!K219+'DOE25'!K237</f>
        <v>100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479377.20999999996</v>
      </c>
      <c r="D7" s="20">
        <f>'DOE25'!L202+'DOE25'!L220+'DOE25'!L238-F7-G7</f>
        <v>350778.76999999996</v>
      </c>
      <c r="E7" s="243"/>
      <c r="F7" s="255">
        <f>'DOE25'!J202+'DOE25'!J220+'DOE25'!J238</f>
        <v>101368.5</v>
      </c>
      <c r="G7" s="53">
        <f>'DOE25'!K202+'DOE25'!K220+'DOE25'!K238</f>
        <v>27229.940000000002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358969.32</v>
      </c>
      <c r="D8" s="243"/>
      <c r="E8" s="20">
        <f>'DOE25'!L203+'DOE25'!L221+'DOE25'!L239-F8-G8-D9-D11</f>
        <v>346868.15</v>
      </c>
      <c r="F8" s="255">
        <f>'DOE25'!J203+'DOE25'!J221+'DOE25'!J239</f>
        <v>0</v>
      </c>
      <c r="G8" s="53">
        <f>'DOE25'!K203+'DOE25'!K221+'DOE25'!K239</f>
        <v>12101.17</v>
      </c>
      <c r="H8" s="259"/>
    </row>
    <row r="9" spans="1:9" x14ac:dyDescent="0.2">
      <c r="A9" s="32">
        <v>2310</v>
      </c>
      <c r="B9" t="s">
        <v>818</v>
      </c>
      <c r="C9" s="245">
        <f t="shared" si="0"/>
        <v>65288.07</v>
      </c>
      <c r="D9" s="244">
        <v>65288.07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6775</v>
      </c>
      <c r="D10" s="243"/>
      <c r="E10" s="244">
        <v>6775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130757.22</v>
      </c>
      <c r="D11" s="244">
        <v>130757.22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750221.76</v>
      </c>
      <c r="D12" s="20">
        <f>'DOE25'!L204+'DOE25'!L222+'DOE25'!L240-F12-G12</f>
        <v>746321.08</v>
      </c>
      <c r="E12" s="243"/>
      <c r="F12" s="255">
        <f>'DOE25'!J204+'DOE25'!J222+'DOE25'!J240</f>
        <v>1400.75</v>
      </c>
      <c r="G12" s="53">
        <f>'DOE25'!K204+'DOE25'!K222+'DOE25'!K240</f>
        <v>2499.9300000000003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1324571.08</v>
      </c>
      <c r="D14" s="20">
        <f>'DOE25'!L206+'DOE25'!L224+'DOE25'!L242-F14-G14</f>
        <v>1318983.4200000002</v>
      </c>
      <c r="E14" s="243"/>
      <c r="F14" s="255">
        <f>'DOE25'!J206+'DOE25'!J224+'DOE25'!J242</f>
        <v>5587.66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801421.1</v>
      </c>
      <c r="D15" s="20">
        <f>'DOE25'!L207+'DOE25'!L225+'DOE25'!L243-F15-G15</f>
        <v>801421.1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1389375</v>
      </c>
      <c r="D25" s="243"/>
      <c r="E25" s="243"/>
      <c r="F25" s="258"/>
      <c r="G25" s="256"/>
      <c r="H25" s="257">
        <f>'DOE25'!L259+'DOE25'!L260+'DOE25'!L340+'DOE25'!L341</f>
        <v>1389375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352211.27</v>
      </c>
      <c r="D29" s="20">
        <f>'DOE25'!L357+'DOE25'!L358+'DOE25'!L359-'DOE25'!I366-F29-G29</f>
        <v>339717.23000000004</v>
      </c>
      <c r="E29" s="243"/>
      <c r="F29" s="255">
        <f>'DOE25'!J357+'DOE25'!J358+'DOE25'!J359</f>
        <v>10000</v>
      </c>
      <c r="G29" s="53">
        <f>'DOE25'!K357+'DOE25'!K358+'DOE25'!K359</f>
        <v>2494.04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90912.23</v>
      </c>
      <c r="D31" s="20">
        <f>'DOE25'!L289+'DOE25'!L308+'DOE25'!L327+'DOE25'!L332+'DOE25'!L333+'DOE25'!L334-F31-G31</f>
        <v>86980.18</v>
      </c>
      <c r="E31" s="243"/>
      <c r="F31" s="255">
        <f>'DOE25'!J289+'DOE25'!J308+'DOE25'!J327+'DOE25'!J332+'DOE25'!J333+'DOE25'!J334</f>
        <v>2000</v>
      </c>
      <c r="G31" s="53">
        <f>'DOE25'!K289+'DOE25'!K308+'DOE25'!K327+'DOE25'!K332+'DOE25'!K333+'DOE25'!K334</f>
        <v>1932.0500000000002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11557108.499999998</v>
      </c>
      <c r="E33" s="246">
        <f>SUM(E5:E31)</f>
        <v>353643.15</v>
      </c>
      <c r="F33" s="246">
        <f>SUM(F5:F31)</f>
        <v>206632.6</v>
      </c>
      <c r="G33" s="246">
        <f>SUM(G5:G31)</f>
        <v>63874.780000000006</v>
      </c>
      <c r="H33" s="246">
        <f>SUM(H5:H31)</f>
        <v>1389375</v>
      </c>
    </row>
    <row r="35" spans="2:8" ht="12" thickBot="1" x14ac:dyDescent="0.25">
      <c r="B35" s="253" t="s">
        <v>847</v>
      </c>
      <c r="D35" s="254">
        <f>E33</f>
        <v>353643.15</v>
      </c>
      <c r="E35" s="249"/>
    </row>
    <row r="36" spans="2:8" ht="12" thickTop="1" x14ac:dyDescent="0.2">
      <c r="B36" t="s">
        <v>815</v>
      </c>
      <c r="D36" s="20">
        <f>D33</f>
        <v>11557108.499999998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WEARE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258843.99</v>
      </c>
      <c r="D8" s="95">
        <f>'DOE25'!G9</f>
        <v>47177.82</v>
      </c>
      <c r="E8" s="95">
        <f>'DOE25'!H9</f>
        <v>-44947.53</v>
      </c>
      <c r="F8" s="95">
        <f>'DOE25'!I9</f>
        <v>0</v>
      </c>
      <c r="G8" s="95">
        <f>'DOE25'!J9</f>
        <v>410441.42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2572.94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24000</v>
      </c>
      <c r="D12" s="95">
        <f>'DOE25'!G13</f>
        <v>10100.950000000001</v>
      </c>
      <c r="E12" s="95">
        <f>'DOE25'!H13</f>
        <v>44947.53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23063.22</v>
      </c>
      <c r="D13" s="95">
        <f>'DOE25'!G14</f>
        <v>3680.4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305907.20999999996</v>
      </c>
      <c r="D18" s="41">
        <f>SUM(D8:D17)</f>
        <v>63532.110000000008</v>
      </c>
      <c r="E18" s="41">
        <f>SUM(E8:E17)</f>
        <v>0</v>
      </c>
      <c r="F18" s="41">
        <f>SUM(F8:F17)</f>
        <v>0</v>
      </c>
      <c r="G18" s="41">
        <f>SUM(G8:G17)</f>
        <v>410441.42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2572.94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16206.79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24000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67684.100000000006</v>
      </c>
      <c r="D23" s="95">
        <f>'DOE25'!G24</f>
        <v>10000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47921.760000000002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22169.56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6789.29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156555.15</v>
      </c>
      <c r="D31" s="41">
        <f>SUM(D21:D30)</f>
        <v>16789.29</v>
      </c>
      <c r="E31" s="41">
        <f>SUM(E21:E30)</f>
        <v>0</v>
      </c>
      <c r="F31" s="41">
        <f>SUM(F21:F30)</f>
        <v>0</v>
      </c>
      <c r="G31" s="41">
        <f>SUM(G21:G30)</f>
        <v>24000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46742.82</v>
      </c>
      <c r="E46" s="95">
        <f>'DOE25'!H47</f>
        <v>0</v>
      </c>
      <c r="F46" s="95">
        <f>'DOE25'!I47</f>
        <v>0</v>
      </c>
      <c r="G46" s="95">
        <f>'DOE25'!J47</f>
        <v>386441.42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149352.06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149352.06</v>
      </c>
      <c r="D49" s="41">
        <f>SUM(D34:D48)</f>
        <v>46742.82</v>
      </c>
      <c r="E49" s="41">
        <f>SUM(E34:E48)</f>
        <v>0</v>
      </c>
      <c r="F49" s="41">
        <f>SUM(F34:F48)</f>
        <v>0</v>
      </c>
      <c r="G49" s="41">
        <f>SUM(G34:G48)</f>
        <v>386441.42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305907.20999999996</v>
      </c>
      <c r="D50" s="41">
        <f>D49+D31</f>
        <v>63532.11</v>
      </c>
      <c r="E50" s="41">
        <f>E49+E31</f>
        <v>0</v>
      </c>
      <c r="F50" s="41">
        <f>F49+F31</f>
        <v>0</v>
      </c>
      <c r="G50" s="41">
        <f>G49+G31</f>
        <v>410441.42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6381779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15665</v>
      </c>
      <c r="D56" s="24" t="s">
        <v>289</v>
      </c>
      <c r="E56" s="95">
        <f>'DOE25'!H78</f>
        <v>27949.9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49000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110.05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222745.94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32512.84</v>
      </c>
      <c r="D60" s="95">
        <f>SUM('DOE25'!G97:G109)</f>
        <v>10888.5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97177.84</v>
      </c>
      <c r="D61" s="130">
        <f>SUM(D56:D60)</f>
        <v>233634.44</v>
      </c>
      <c r="E61" s="130">
        <f>SUM(E56:E60)</f>
        <v>27949.9</v>
      </c>
      <c r="F61" s="130">
        <f>SUM(F56:F60)</f>
        <v>0</v>
      </c>
      <c r="G61" s="130">
        <f>SUM(G56:G60)</f>
        <v>110.05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6478956.8399999999</v>
      </c>
      <c r="D62" s="22">
        <f>D55+D61</f>
        <v>233634.44</v>
      </c>
      <c r="E62" s="22">
        <f>E55+E61</f>
        <v>27949.9</v>
      </c>
      <c r="F62" s="22">
        <f>F55+F61</f>
        <v>0</v>
      </c>
      <c r="G62" s="22">
        <f>G55+G61</f>
        <v>110.05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4955204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1152860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6108064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385686.4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87015.5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4466.5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472701.9</v>
      </c>
      <c r="D77" s="130">
        <f>SUM(D71:D76)</f>
        <v>4466.5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6580765.9000000004</v>
      </c>
      <c r="D80" s="130">
        <f>SUM(D78:D79)+D77+D69</f>
        <v>4466.5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111143.13</v>
      </c>
      <c r="D87" s="95">
        <f>SUM('DOE25'!G152:G160)</f>
        <v>108252.96</v>
      </c>
      <c r="E87" s="95">
        <f>SUM('DOE25'!H152:H160)</f>
        <v>59391.89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111143.13</v>
      </c>
      <c r="D90" s="131">
        <f>SUM(D84:D89)</f>
        <v>108252.96</v>
      </c>
      <c r="E90" s="131">
        <f>SUM(E84:E89)</f>
        <v>59391.89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13170865.870000001</v>
      </c>
      <c r="D103" s="86">
        <f>D62+D80+D90+D102</f>
        <v>346353.9</v>
      </c>
      <c r="E103" s="86">
        <f>E62+E80+E90+E102</f>
        <v>87341.790000000008</v>
      </c>
      <c r="F103" s="86">
        <f>F62+F80+F90+F102</f>
        <v>0</v>
      </c>
      <c r="G103" s="86">
        <f>G62+G80+G102</f>
        <v>100110.05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4683997.5500000007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2271848.6099999994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76518.959999999992</v>
      </c>
      <c r="D111" s="24" t="s">
        <v>289</v>
      </c>
      <c r="E111" s="95">
        <f>+('DOE25'!L278)+('DOE25'!L297)+('DOE25'!L316)</f>
        <v>29520.34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7032365.1200000001</v>
      </c>
      <c r="D114" s="86">
        <f>SUM(D108:D113)</f>
        <v>0</v>
      </c>
      <c r="E114" s="86">
        <f>SUM(E108:E113)</f>
        <v>29520.34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788389.65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479377.20999999996</v>
      </c>
      <c r="D118" s="24" t="s">
        <v>289</v>
      </c>
      <c r="E118" s="95">
        <f>+('DOE25'!L281)+('DOE25'!L300)+('DOE25'!L319)</f>
        <v>57459.839999999997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555014.6100000001</v>
      </c>
      <c r="D119" s="24" t="s">
        <v>289</v>
      </c>
      <c r="E119" s="95">
        <f>+('DOE25'!L282)+('DOE25'!L301)+('DOE25'!L320)</f>
        <v>1932.0500000000002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750221.76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1324571.08</v>
      </c>
      <c r="D122" s="24" t="s">
        <v>289</v>
      </c>
      <c r="E122" s="95">
        <f>+('DOE25'!L285)+('DOE25'!L304)+('DOE25'!L323)</f>
        <v>2000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801421.1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352211.27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4698995.41</v>
      </c>
      <c r="D127" s="86">
        <f>SUM(D117:D126)</f>
        <v>352211.27</v>
      </c>
      <c r="E127" s="86">
        <f>SUM(E117:E126)</f>
        <v>61391.89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489375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16.04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100094.01000000001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-110.05000000000291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1489375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13220735.530000001</v>
      </c>
      <c r="D144" s="86">
        <f>(D114+D127+D143)</f>
        <v>352211.27</v>
      </c>
      <c r="E144" s="86">
        <f>(E114+E127+E143)</f>
        <v>90912.23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6/23/05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8/1/25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18000000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12600000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12600000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300000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300000</v>
      </c>
    </row>
    <row r="157" spans="1:9" x14ac:dyDescent="0.2">
      <c r="A157" s="22" t="s">
        <v>34</v>
      </c>
      <c r="B157" s="137">
        <f>'DOE25'!F496</f>
        <v>900000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900000</v>
      </c>
    </row>
    <row r="158" spans="1:9" x14ac:dyDescent="0.2">
      <c r="A158" s="22" t="s">
        <v>35</v>
      </c>
      <c r="B158" s="137">
        <f>'DOE25'!F497</f>
        <v>11700000</v>
      </c>
      <c r="C158" s="137">
        <f>'DOE25'!G497</f>
        <v>300000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12000000</v>
      </c>
    </row>
    <row r="159" spans="1:9" x14ac:dyDescent="0.2">
      <c r="A159" s="22" t="s">
        <v>36</v>
      </c>
      <c r="B159" s="137">
        <f>'DOE25'!F498</f>
        <v>3096000</v>
      </c>
      <c r="C159" s="137">
        <f>'DOE25'!G498</f>
        <v>59400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3155400</v>
      </c>
    </row>
    <row r="160" spans="1:9" x14ac:dyDescent="0.2">
      <c r="A160" s="22" t="s">
        <v>37</v>
      </c>
      <c r="B160" s="137">
        <f>'DOE25'!F499</f>
        <v>14796000</v>
      </c>
      <c r="C160" s="137">
        <f>'DOE25'!G499</f>
        <v>359400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15155400</v>
      </c>
    </row>
    <row r="161" spans="1:7" x14ac:dyDescent="0.2">
      <c r="A161" s="22" t="s">
        <v>38</v>
      </c>
      <c r="B161" s="137">
        <f>'DOE25'!F500</f>
        <v>900000</v>
      </c>
      <c r="C161" s="137">
        <f>'DOE25'!G500</f>
        <v>55000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955000</v>
      </c>
    </row>
    <row r="162" spans="1:7" x14ac:dyDescent="0.2">
      <c r="A162" s="22" t="s">
        <v>39</v>
      </c>
      <c r="B162" s="137">
        <f>'DOE25'!F501</f>
        <v>454500</v>
      </c>
      <c r="C162" s="137">
        <f>'DOE25'!G501</f>
        <v>4400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458900</v>
      </c>
    </row>
    <row r="163" spans="1:7" x14ac:dyDescent="0.2">
      <c r="A163" s="22" t="s">
        <v>246</v>
      </c>
      <c r="B163" s="137">
        <f>'DOE25'!F502</f>
        <v>1354500</v>
      </c>
      <c r="C163" s="137">
        <f>'DOE25'!G502</f>
        <v>59400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1413900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WEARE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10415</v>
      </c>
    </row>
    <row r="5" spans="1:4" x14ac:dyDescent="0.2">
      <c r="B5" t="s">
        <v>704</v>
      </c>
      <c r="C5" s="179">
        <f>IF('DOE25'!G664+'DOE25'!G669=0,0,ROUND('DOE25'!G671,0))</f>
        <v>11682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11022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4683998</v>
      </c>
      <c r="D10" s="182">
        <f>ROUND((C10/$C$28)*100,1)</f>
        <v>37.700000000000003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2271849</v>
      </c>
      <c r="D11" s="182">
        <f>ROUND((C11/$C$28)*100,1)</f>
        <v>18.3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106039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788390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536837</v>
      </c>
      <c r="D16" s="182">
        <f t="shared" si="0"/>
        <v>4.3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556947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750222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1326571</v>
      </c>
      <c r="D20" s="182">
        <f t="shared" si="0"/>
        <v>10.7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801421</v>
      </c>
      <c r="D21" s="182">
        <f t="shared" si="0"/>
        <v>6.4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489375</v>
      </c>
      <c r="D25" s="182">
        <f t="shared" si="0"/>
        <v>3.9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118576.56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12430225.560000001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12430225.560000001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900000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6381779</v>
      </c>
      <c r="D35" s="182">
        <f t="shared" ref="D35:D40" si="1">ROUND((C35/$C$41)*100,1)</f>
        <v>47.7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125237.79000000004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6108064</v>
      </c>
      <c r="D37" s="182">
        <f t="shared" si="1"/>
        <v>45.7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477168</v>
      </c>
      <c r="D38" s="182">
        <f t="shared" si="1"/>
        <v>3.6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278788</v>
      </c>
      <c r="D39" s="182">
        <f t="shared" si="1"/>
        <v>2.1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13371036.789999999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WEARE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2013-08-22T12:47:28Z</cp:lastPrinted>
  <dcterms:created xsi:type="dcterms:W3CDTF">1997-12-04T19:04:30Z</dcterms:created>
  <dcterms:modified xsi:type="dcterms:W3CDTF">2013-08-26T14:36:49Z</dcterms:modified>
</cp:coreProperties>
</file>