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K262" i="1" l="1"/>
  <c r="J464" i="1"/>
  <c r="D9" i="13" l="1"/>
  <c r="J95" i="1"/>
  <c r="F578" i="1"/>
  <c r="H525" i="1"/>
  <c r="J520" i="1"/>
  <c r="G520" i="1"/>
  <c r="F520" i="1"/>
  <c r="H520" i="1"/>
  <c r="I281" i="1"/>
  <c r="H281" i="1"/>
  <c r="G281" i="1"/>
  <c r="J276" i="1"/>
  <c r="G276" i="1"/>
  <c r="F276" i="1"/>
  <c r="J275" i="1"/>
  <c r="I275" i="1"/>
  <c r="G275" i="1"/>
  <c r="H158" i="1"/>
  <c r="H154" i="1"/>
  <c r="H153" i="1"/>
  <c r="H149" i="1"/>
  <c r="G96" i="1" l="1"/>
  <c r="G610" i="1"/>
  <c r="F501" i="1"/>
  <c r="J467" i="1"/>
  <c r="F367" i="1"/>
  <c r="I357" i="1"/>
  <c r="H357" i="1"/>
  <c r="G357" i="1"/>
  <c r="I204" i="1"/>
  <c r="I202" i="1"/>
  <c r="I201" i="1"/>
  <c r="H207" i="1"/>
  <c r="H203" i="1"/>
  <c r="H201" i="1"/>
  <c r="H199" i="1"/>
  <c r="G203" i="1"/>
  <c r="G202" i="1"/>
  <c r="G201" i="1"/>
  <c r="G199" i="1"/>
  <c r="F203" i="1"/>
  <c r="F202" i="1"/>
  <c r="F201" i="1"/>
  <c r="F199" i="1"/>
  <c r="F109" i="1"/>
  <c r="F12" i="1"/>
  <c r="F9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E49" i="2" s="1"/>
  <c r="E50" i="2" s="1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C20" i="10" s="1"/>
  <c r="L224" i="1"/>
  <c r="L242" i="1"/>
  <c r="F15" i="13"/>
  <c r="G15" i="13"/>
  <c r="L207" i="1"/>
  <c r="D15" i="13" s="1"/>
  <c r="C15" i="13" s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G660" i="1" s="1"/>
  <c r="L358" i="1"/>
  <c r="L359" i="1"/>
  <c r="I366" i="1"/>
  <c r="J289" i="1"/>
  <c r="J308" i="1"/>
  <c r="J327" i="1"/>
  <c r="K289" i="1"/>
  <c r="K308" i="1"/>
  <c r="K327" i="1"/>
  <c r="L275" i="1"/>
  <c r="E108" i="2" s="1"/>
  <c r="L276" i="1"/>
  <c r="E109" i="2" s="1"/>
  <c r="L277" i="1"/>
  <c r="L278" i="1"/>
  <c r="L280" i="1"/>
  <c r="E117" i="2" s="1"/>
  <c r="L281" i="1"/>
  <c r="E118" i="2" s="1"/>
  <c r="L282" i="1"/>
  <c r="E119" i="2" s="1"/>
  <c r="L283" i="1"/>
  <c r="C18" i="10" s="1"/>
  <c r="L284" i="1"/>
  <c r="C19" i="10" s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32" i="10" s="1"/>
  <c r="L260" i="1"/>
  <c r="C131" i="2" s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A40" i="12" s="1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92" i="1" s="1"/>
  <c r="C137" i="2" s="1"/>
  <c r="L389" i="1"/>
  <c r="L390" i="1"/>
  <c r="L391" i="1"/>
  <c r="L394" i="1"/>
  <c r="L395" i="1"/>
  <c r="L396" i="1"/>
  <c r="L397" i="1"/>
  <c r="L400" i="1" s="1"/>
  <c r="C138" i="2" s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F168" i="1" s="1"/>
  <c r="G146" i="1"/>
  <c r="G161" i="1"/>
  <c r="H146" i="1"/>
  <c r="H161" i="1"/>
  <c r="H168" i="1" s="1"/>
  <c r="I146" i="1"/>
  <c r="I161" i="1"/>
  <c r="C11" i="10"/>
  <c r="C12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28" i="1"/>
  <c r="L246" i="1"/>
  <c r="F660" i="1"/>
  <c r="H660" i="1"/>
  <c r="F661" i="1"/>
  <c r="G661" i="1"/>
  <c r="H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K550" i="1" s="1"/>
  <c r="L525" i="1"/>
  <c r="G548" i="1" s="1"/>
  <c r="G551" i="1" s="1"/>
  <c r="L526" i="1"/>
  <c r="G549" i="1" s="1"/>
  <c r="L527" i="1"/>
  <c r="G550" i="1" s="1"/>
  <c r="L530" i="1"/>
  <c r="H548" i="1" s="1"/>
  <c r="H551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J551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G102" i="2" s="1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10" i="2"/>
  <c r="E110" i="2"/>
  <c r="C111" i="2"/>
  <c r="E111" i="2"/>
  <c r="C112" i="2"/>
  <c r="E112" i="2"/>
  <c r="C113" i="2"/>
  <c r="E113" i="2"/>
  <c r="D114" i="2"/>
  <c r="F114" i="2"/>
  <c r="G114" i="2"/>
  <c r="C118" i="2"/>
  <c r="C119" i="2"/>
  <c r="C120" i="2"/>
  <c r="C121" i="2"/>
  <c r="E122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G155" i="2" s="1"/>
  <c r="D155" i="2"/>
  <c r="E155" i="2"/>
  <c r="F155" i="2"/>
  <c r="B156" i="2"/>
  <c r="G156" i="2" s="1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G159" i="2" s="1"/>
  <c r="D159" i="2"/>
  <c r="E159" i="2"/>
  <c r="F159" i="2"/>
  <c r="F499" i="1"/>
  <c r="B160" i="2" s="1"/>
  <c r="G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G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F256" i="1" s="1"/>
  <c r="F270" i="1" s="1"/>
  <c r="G210" i="1"/>
  <c r="G256" i="1" s="1"/>
  <c r="G270" i="1" s="1"/>
  <c r="H210" i="1"/>
  <c r="I210" i="1"/>
  <c r="I256" i="1" s="1"/>
  <c r="I270" i="1" s="1"/>
  <c r="J210" i="1"/>
  <c r="J256" i="1" s="1"/>
  <c r="J270" i="1" s="1"/>
  <c r="K210" i="1"/>
  <c r="K256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F337" i="1" s="1"/>
  <c r="F351" i="1" s="1"/>
  <c r="G289" i="1"/>
  <c r="G337" i="1" s="1"/>
  <c r="G351" i="1" s="1"/>
  <c r="H289" i="1"/>
  <c r="H337" i="1" s="1"/>
  <c r="H351" i="1" s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J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G407" i="1" s="1"/>
  <c r="H644" i="1" s="1"/>
  <c r="H392" i="1"/>
  <c r="I392" i="1"/>
  <c r="F400" i="1"/>
  <c r="G400" i="1"/>
  <c r="H400" i="1"/>
  <c r="I400" i="1"/>
  <c r="F406" i="1"/>
  <c r="G406" i="1"/>
  <c r="H406" i="1"/>
  <c r="I406" i="1"/>
  <c r="F407" i="1"/>
  <c r="H407" i="1"/>
  <c r="H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G641" i="1" s="1"/>
  <c r="F451" i="1"/>
  <c r="G451" i="1"/>
  <c r="H451" i="1"/>
  <c r="I451" i="1"/>
  <c r="F459" i="1"/>
  <c r="G459" i="1"/>
  <c r="H459" i="1"/>
  <c r="I459" i="1"/>
  <c r="I460" i="1" s="1"/>
  <c r="H641" i="1" s="1"/>
  <c r="F460" i="1"/>
  <c r="G460" i="1"/>
  <c r="H460" i="1"/>
  <c r="F469" i="1"/>
  <c r="G469" i="1"/>
  <c r="H469" i="1"/>
  <c r="I469" i="1"/>
  <c r="J469" i="1"/>
  <c r="F473" i="1"/>
  <c r="G473" i="1"/>
  <c r="H473" i="1"/>
  <c r="H475" i="1" s="1"/>
  <c r="H623" i="1" s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K544" i="1" s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7" i="1" s="1"/>
  <c r="G646" i="1" s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L613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J638" i="1" s="1"/>
  <c r="H638" i="1"/>
  <c r="G639" i="1"/>
  <c r="H639" i="1"/>
  <c r="G640" i="1"/>
  <c r="H640" i="1"/>
  <c r="G642" i="1"/>
  <c r="H642" i="1"/>
  <c r="G643" i="1"/>
  <c r="G644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F31" i="2"/>
  <c r="C26" i="10"/>
  <c r="L327" i="1"/>
  <c r="L350" i="1"/>
  <c r="I661" i="1"/>
  <c r="C69" i="2"/>
  <c r="D12" i="13"/>
  <c r="C12" i="13" s="1"/>
  <c r="D61" i="2"/>
  <c r="D62" i="2" s="1"/>
  <c r="D18" i="13"/>
  <c r="C18" i="13" s="1"/>
  <c r="F102" i="2"/>
  <c r="D18" i="2"/>
  <c r="E18" i="2"/>
  <c r="D17" i="13"/>
  <c r="C17" i="13" s="1"/>
  <c r="E8" i="13"/>
  <c r="C8" i="13" s="1"/>
  <c r="G158" i="2"/>
  <c r="C90" i="2"/>
  <c r="G80" i="2"/>
  <c r="F77" i="2"/>
  <c r="F80" i="2" s="1"/>
  <c r="F61" i="2"/>
  <c r="F62" i="2" s="1"/>
  <c r="D31" i="2"/>
  <c r="C77" i="2"/>
  <c r="D49" i="2"/>
  <c r="F49" i="2"/>
  <c r="F50" i="2" s="1"/>
  <c r="F18" i="2"/>
  <c r="G162" i="2"/>
  <c r="E143" i="2"/>
  <c r="E102" i="2"/>
  <c r="C102" i="2"/>
  <c r="F90" i="2"/>
  <c r="E61" i="2"/>
  <c r="E62" i="2" s="1"/>
  <c r="E31" i="2"/>
  <c r="G61" i="2"/>
  <c r="D19" i="13"/>
  <c r="C19" i="13" s="1"/>
  <c r="E13" i="13"/>
  <c r="C13" i="13" s="1"/>
  <c r="E77" i="2"/>
  <c r="E80" i="2" s="1"/>
  <c r="L426" i="1"/>
  <c r="H111" i="1"/>
  <c r="J640" i="1"/>
  <c r="J570" i="1"/>
  <c r="K570" i="1"/>
  <c r="L432" i="1"/>
  <c r="L418" i="1"/>
  <c r="D80" i="2"/>
  <c r="I168" i="1"/>
  <c r="J642" i="1"/>
  <c r="J475" i="1"/>
  <c r="H625" i="1" s="1"/>
  <c r="F475" i="1"/>
  <c r="H621" i="1" s="1"/>
  <c r="I475" i="1"/>
  <c r="H624" i="1" s="1"/>
  <c r="J624" i="1" s="1"/>
  <c r="G475" i="1"/>
  <c r="H622" i="1" s="1"/>
  <c r="J622" i="1" s="1"/>
  <c r="J139" i="1"/>
  <c r="F570" i="1"/>
  <c r="I551" i="1"/>
  <c r="K549" i="1"/>
  <c r="G22" i="2"/>
  <c r="C29" i="10"/>
  <c r="H139" i="1"/>
  <c r="F22" i="13"/>
  <c r="H570" i="1"/>
  <c r="L559" i="1"/>
  <c r="G191" i="1"/>
  <c r="H191" i="1"/>
  <c r="L308" i="1"/>
  <c r="E16" i="13"/>
  <c r="C16" i="13" s="1"/>
  <c r="J654" i="1"/>
  <c r="L569" i="1"/>
  <c r="I570" i="1"/>
  <c r="J635" i="1"/>
  <c r="G36" i="2"/>
  <c r="L564" i="1"/>
  <c r="C22" i="13"/>
  <c r="J644" i="1" l="1"/>
  <c r="J643" i="1"/>
  <c r="J639" i="1"/>
  <c r="L543" i="1"/>
  <c r="H544" i="1"/>
  <c r="G544" i="1"/>
  <c r="J544" i="1"/>
  <c r="E121" i="2"/>
  <c r="A13" i="12"/>
  <c r="J650" i="1"/>
  <c r="L533" i="1"/>
  <c r="I544" i="1"/>
  <c r="L528" i="1"/>
  <c r="K548" i="1"/>
  <c r="K551" i="1" s="1"/>
  <c r="F551" i="1"/>
  <c r="G161" i="2"/>
  <c r="K502" i="1"/>
  <c r="K499" i="1"/>
  <c r="D144" i="2"/>
  <c r="D29" i="13"/>
  <c r="C29" i="13" s="1"/>
  <c r="I660" i="1"/>
  <c r="E120" i="2"/>
  <c r="C17" i="10"/>
  <c r="C15" i="10"/>
  <c r="E127" i="2"/>
  <c r="C16" i="10"/>
  <c r="L289" i="1"/>
  <c r="C13" i="10"/>
  <c r="E114" i="2"/>
  <c r="C10" i="10"/>
  <c r="C109" i="2"/>
  <c r="H659" i="1"/>
  <c r="H663" i="1" s="1"/>
  <c r="H666" i="1" s="1"/>
  <c r="H256" i="1"/>
  <c r="H270" i="1" s="1"/>
  <c r="C108" i="2"/>
  <c r="K270" i="1"/>
  <c r="C130" i="2"/>
  <c r="H25" i="13"/>
  <c r="D5" i="13"/>
  <c r="C5" i="13" s="1"/>
  <c r="H646" i="1"/>
  <c r="J646" i="1" s="1"/>
  <c r="C123" i="2"/>
  <c r="D14" i="13"/>
  <c r="C14" i="13" s="1"/>
  <c r="D7" i="13"/>
  <c r="C7" i="13" s="1"/>
  <c r="C122" i="2"/>
  <c r="C117" i="2"/>
  <c r="L210" i="1"/>
  <c r="E33" i="13"/>
  <c r="D35" i="13" s="1"/>
  <c r="D6" i="13"/>
  <c r="C6" i="13" s="1"/>
  <c r="C80" i="2"/>
  <c r="C61" i="2"/>
  <c r="C62" i="2" s="1"/>
  <c r="C35" i="10"/>
  <c r="F111" i="1"/>
  <c r="J623" i="1"/>
  <c r="C49" i="2"/>
  <c r="J621" i="1"/>
  <c r="C31" i="2"/>
  <c r="J616" i="1"/>
  <c r="C18" i="2"/>
  <c r="C24" i="10"/>
  <c r="G659" i="1"/>
  <c r="G663" i="1" s="1"/>
  <c r="G671" i="1" s="1"/>
  <c r="C5" i="10" s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G62" i="2"/>
  <c r="G103" i="2" s="1"/>
  <c r="J617" i="1"/>
  <c r="G666" i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J651" i="1"/>
  <c r="J641" i="1"/>
  <c r="G570" i="1"/>
  <c r="I433" i="1"/>
  <c r="G433" i="1"/>
  <c r="I662" i="1"/>
  <c r="C27" i="10"/>
  <c r="G634" i="1"/>
  <c r="J634" i="1" s="1"/>
  <c r="E144" i="2" l="1"/>
  <c r="L544" i="1"/>
  <c r="H645" i="1"/>
  <c r="H671" i="1"/>
  <c r="C6" i="10" s="1"/>
  <c r="D31" i="13"/>
  <c r="C31" i="13" s="1"/>
  <c r="L337" i="1"/>
  <c r="L351" i="1" s="1"/>
  <c r="G632" i="1" s="1"/>
  <c r="J632" i="1" s="1"/>
  <c r="F659" i="1"/>
  <c r="F663" i="1" s="1"/>
  <c r="F666" i="1" s="1"/>
  <c r="C28" i="10"/>
  <c r="D24" i="10" s="1"/>
  <c r="C114" i="2"/>
  <c r="C25" i="13"/>
  <c r="H33" i="13"/>
  <c r="C127" i="2"/>
  <c r="C144" i="2" s="1"/>
  <c r="L256" i="1"/>
  <c r="L270" i="1" s="1"/>
  <c r="G631" i="1" s="1"/>
  <c r="J631" i="1" s="1"/>
  <c r="C103" i="2"/>
  <c r="F192" i="1"/>
  <c r="G626" i="1" s="1"/>
  <c r="J626" i="1" s="1"/>
  <c r="C36" i="10"/>
  <c r="C50" i="2"/>
  <c r="G630" i="1"/>
  <c r="J630" i="1" s="1"/>
  <c r="J645" i="1"/>
  <c r="G192" i="1"/>
  <c r="G627" i="1" s="1"/>
  <c r="J627" i="1" s="1"/>
  <c r="G625" i="1"/>
  <c r="J625" i="1" s="1"/>
  <c r="J51" i="1"/>
  <c r="H620" i="1" s="1"/>
  <c r="J620" i="1" s="1"/>
  <c r="C38" i="10"/>
  <c r="D23" i="10" l="1"/>
  <c r="D33" i="13"/>
  <c r="D36" i="13" s="1"/>
  <c r="D15" i="10"/>
  <c r="D22" i="10"/>
  <c r="F671" i="1"/>
  <c r="C4" i="10" s="1"/>
  <c r="I659" i="1"/>
  <c r="I663" i="1" s="1"/>
  <c r="I671" i="1" s="1"/>
  <c r="C7" i="10" s="1"/>
  <c r="D10" i="10"/>
  <c r="D13" i="10"/>
  <c r="C30" i="10"/>
  <c r="D25" i="10"/>
  <c r="D26" i="10"/>
  <c r="D21" i="10"/>
  <c r="D19" i="10"/>
  <c r="D20" i="10"/>
  <c r="D11" i="10"/>
  <c r="D16" i="10"/>
  <c r="D27" i="10"/>
  <c r="D18" i="10"/>
  <c r="D17" i="10"/>
  <c r="D12" i="10"/>
  <c r="H655" i="1"/>
  <c r="C41" i="10"/>
  <c r="D38" i="10" s="1"/>
  <c r="I66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<sst xmlns="http://schemas.openxmlformats.org/spreadsheetml/2006/main" count="3948" uniqueCount="914">
  <si>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</si>
  <si>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</si>
  <si>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</si>
  <si>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</si>
  <si>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</si>
  <si>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</si>
  <si>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</si>
  <si>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</si>
  <si>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</si>
  <si>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</si>
  <si>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</si>
  <si>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</si>
  <si>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</si>
  <si>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</si>
  <si>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</si>
  <si>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</si>
  <si>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</si>
  <si>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</si>
  <si>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</si>
  <si>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</si>
  <si>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</si>
  <si>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</si>
  <si>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</si>
  <si>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</si>
  <si>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</si>
  <si>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</si>
  <si>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</si>
  <si>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</si>
  <si>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</si>
  <si>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</si>
  <si>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</si>
  <si>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</si>
  <si>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</si>
  <si>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</si>
  <si>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</si>
  <si>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</si>
  <si>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</si>
  <si>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</si>
  <si>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</si>
  <si>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</si>
  <si>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</si>
  <si>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</si>
  <si>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</si>
  <si>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</si>
  <si>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</si>
  <si>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</si>
  <si>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</si>
  <si>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</si>
  <si>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</si>
  <si>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</si>
  <si>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</si>
  <si>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</si>
  <si>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</si>
  <si>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</si>
  <si>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</si>
  <si>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</si>
  <si>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</si>
  <si>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</si>
  <si>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</si>
  <si>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</si>
  <si>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</si>
  <si>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</si>
  <si>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</si>
  <si>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</si>
  <si>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</si>
  <si>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</si>
  <si>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</si>
  <si>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</si>
  <si>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</si>
  <si>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</si>
  <si>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</si>
  <si>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</si>
  <si>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</si>
  <si>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</si>
  <si>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</si>
  <si>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</si>
  <si>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</si>
  <si>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</si>
  <si>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</si>
  <si>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</si>
  <si>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</si>
  <si>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</si>
  <si>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</si>
  <si>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</si>
  <si>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</si>
  <si>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</si>
  <si>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</si>
  <si>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</si>
  <si>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</si>
  <si>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</si>
  <si>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</si>
  <si>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</si>
  <si>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</si>
  <si>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</si>
  <si>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</si>
  <si>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</si>
  <si>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</si>
  <si>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</si>
  <si>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</si>
  <si>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</si>
  <si>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</si>
  <si>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</si>
  <si>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</si>
  <si>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</si>
  <si>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</si>
  <si>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</si>
  <si>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</si>
  <si>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</si>
  <si>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</si>
  <si>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</si>
  <si>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</si>
  <si>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</si>
  <si>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</si>
  <si>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</si>
  <si>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</si>
  <si>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</si>
  <si>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</si>
  <si>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</si>
  <si>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</si>
  <si>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</si>
  <si>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</si>
  <si>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</si>
  <si>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</si>
  <si>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</si>
  <si>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</si>
  <si>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</si>
  <si>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</si>
  <si>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</si>
  <si>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</si>
  <si>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</si>
  <si>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</si>
  <si>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</si>
  <si>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</si>
  <si>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</si>
  <si>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</si>
  <si>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</si>
  <si>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</si>
  <si>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</si>
  <si>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</si>
  <si>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</si>
  <si>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</si>
  <si>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</si>
  <si>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</si>
  <si>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</si>
  <si>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</si>
  <si>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</si>
  <si>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</si>
  <si>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</si>
  <si>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</si>
  <si>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</si>
  <si>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</si>
  <si>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</si>
  <si>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</si>
  <si>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</si>
  <si>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</si>
  <si>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</si>
  <si>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</si>
  <si>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</si>
  <si>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</si>
  <si>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</si>
  <si>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</si>
  <si>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</si>
  <si>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</si>
  <si>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</si>
  <si>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</si>
  <si>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</si>
  <si>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</si>
  <si>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</si>
  <si>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</si>
  <si>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</si>
  <si>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</si>
  <si>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</si>
  <si>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</si>
  <si>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</si>
  <si>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</si>
  <si>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</si>
  <si>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</si>
  <si>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</si>
  <si>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</si>
  <si>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</si>
  <si>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</si>
  <si>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</si>
  <si>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</si>
  <si>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</si>
  <si>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</si>
  <si>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</si>
  <si>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</si>
  <si>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</si>
  <si>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</si>
  <si>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</si>
  <si>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</si>
  <si>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</si>
  <si>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</si>
  <si>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</si>
  <si>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</si>
  <si>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</si>
  <si>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</si>
  <si>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</si>
  <si>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</si>
  <si>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</si>
  <si>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</si>
  <si>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</si>
  <si>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</si>
  <si>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</si>
  <si>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</si>
  <si>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</si>
  <si>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</si>
  <si>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</si>
  <si>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</si>
  <si>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</si>
  <si>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</si>
  <si>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</si>
  <si>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</si>
  <si>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</si>
  <si>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</si>
  <si>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</si>
  <si>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</si>
  <si>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</si>
  <si>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</si>
  <si>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</si>
  <si>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</si>
  <si>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</si>
  <si>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</si>
  <si>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</si>
  <si>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</si>
  <si>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</si>
  <si>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</si>
  <si>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</si>
  <si>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</si>
  <si>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</si>
  <si>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</si>
  <si>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</si>
  <si>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</si>
  <si>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</si>
  <si>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</si>
  <si>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</si>
  <si>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</si>
  <si>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</si>
  <si>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</si>
  <si>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</si>
  <si>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</si>
  <si>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</si>
  <si>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</si>
  <si>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</si>
  <si>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</si>
  <si>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</si>
  <si>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</si>
  <si>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</si>
  <si>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</si>
  <si>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</si>
  <si>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</si>
  <si>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</si>
  <si>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</si>
  <si>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</si>
  <si>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</si>
  <si>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</si>
  <si>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</si>
  <si>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</si>
  <si>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</si>
  <si>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</si>
  <si>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</si>
  <si>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</si>
  <si>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</si>
  <si>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</si>
  <si>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</si>
  <si>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</si>
  <si>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</si>
  <si>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</si>
  <si>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</si>
  <si>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</si>
  <si>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</si>
  <si>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</si>
  <si>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</si>
  <si>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</si>
  <si>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</si>
  <si>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</si>
  <si>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</si>
  <si>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</si>
  <si>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</si>
  <si>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</si>
  <si>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</si>
  <si>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</si>
  <si>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</si>
  <si>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</si>
  <si>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</si>
  <si>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</si>
  <si>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</si>
  <si>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</si>
  <si>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</si>
  <si>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</si>
  <si>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</si>
  <si>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</si>
  <si>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</si>
  <si>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</si>
  <si>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</si>
  <si>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</si>
  <si>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</si>
  <si>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</si>
  <si>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</si>
  <si>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</si>
  <si>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</si>
  <si>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</si>
  <si>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</si>
  <si>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</si>
  <si>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</si>
  <si>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</si>
  <si>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</si>
  <si>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</si>
  <si>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</si>
  <si>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</si>
  <si>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</si>
  <si>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</si>
  <si>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</si>
  <si>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</si>
  <si>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</si>
  <si>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</si>
  <si>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</si>
  <si>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</si>
  <si>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</si>
  <si>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</si>
  <si>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</si>
  <si>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</si>
  <si>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</si>
  <si>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</si>
  <si>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</si>
  <si>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</si>
  <si>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</si>
  <si>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</si>
  <si>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</si>
  <si>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</si>
  <si>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</si>
  <si>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</si>
  <si>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</si>
  <si>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</si>
  <si>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</si>
  <si>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</si>
  <si>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</si>
  <si>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</si>
  <si>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</si>
  <si>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</si>
  <si>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</si>
  <si>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</si>
  <si>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</si>
  <si>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</si>
  <si>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</si>
  <si>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</si>
  <si>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</si>
  <si>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</si>
  <si>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</si>
  <si>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</si>
  <si>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</si>
  <si>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</si>
  <si>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</si>
  <si>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</si>
  <si>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</si>
  <si>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</si>
  <si>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</si>
  <si>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</si>
  <si>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</si>
  <si>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</si>
  <si>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</si>
  <si>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</si>
  <si>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</si>
  <si>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</si>
  <si>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</si>
  <si>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</si>
  <si>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</si>
  <si>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</si>
  <si>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</si>
  <si>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</si>
  <si>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</si>
  <si>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</si>
  <si>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</si>
  <si>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</si>
  <si>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</si>
  <si>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</si>
  <si>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</si>
  <si>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</si>
  <si>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</si>
  <si>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</si>
  <si>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</si>
  <si>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</si>
  <si>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</si>
  <si>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</si>
  <si>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</si>
  <si>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</si>
  <si>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</si>
  <si>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</si>
  <si>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</si>
  <si>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</si>
  <si>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</si>
  <si>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</si>
  <si>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</si>
  <si>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</si>
  <si>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</si>
  <si>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</si>
  <si>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</si>
  <si>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</si>
  <si>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</si>
  <si>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</si>
  <si>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</si>
  <si>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</si>
  <si>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</si>
  <si>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</si>
  <si>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</si>
  <si>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</si>
  <si>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</si>
  <si>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</si>
  <si>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</si>
  <si>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</si>
  <si>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</si>
  <si>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</si>
  <si>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</si>
  <si>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</si>
  <si>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</si>
  <si>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</si>
  <si>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</si>
  <si>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</si>
  <si>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</si>
  <si>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</si>
  <si>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</si>
  <si>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</si>
  <si>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</si>
  <si>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</si>
  <si>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</si>
  <si>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</si>
  <si>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</si>
  <si>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</si>
  <si>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</si>
  <si>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</si>
  <si>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</si>
  <si>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</si>
  <si>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</si>
  <si>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</si>
  <si>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</si>
  <si>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</si>
  <si>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</si>
  <si>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</si>
  <si>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</si>
  <si>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</si>
  <si>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</si>
  <si>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</si>
  <si>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</si>
  <si>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</si>
  <si>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</si>
  <si>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</si>
  <si>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</si>
  <si>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</si>
  <si>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</si>
  <si>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</si>
  <si>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</si>
  <si>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</si>
  <si>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</si>
  <si>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</si>
  <si>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</si>
  <si>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</si>
  <si>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</si>
  <si>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</si>
  <si>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</si>
  <si>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</si>
  <si>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</si>
  <si>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</si>
  <si>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</si>
  <si>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</si>
  <si>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</si>
  <si>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</si>
  <si>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</si>
  <si>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</si>
  <si>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</si>
  <si>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</si>
  <si>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</si>
  <si>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</si>
  <si>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</si>
  <si>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</si>
  <si>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</si>
  <si>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</si>
  <si>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</si>
  <si>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</si>
  <si>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</si>
  <si>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</si>
  <si>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</si>
  <si>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</si>
  <si>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</si>
  <si>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</si>
  <si>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</si>
  <si>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</si>
  <si>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</si>
  <si>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</si>
  <si>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</si>
  <si>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</si>
  <si>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</si>
  <si>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</si>
  <si>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</si>
  <si>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</si>
  <si>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</si>
  <si>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</si>
  <si>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</si>
  <si>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</si>
  <si>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</si>
  <si>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</si>
  <si>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</si>
  <si>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</si>
  <si>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</si>
  <si>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</si>
  <si>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</si>
  <si>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</si>
  <si>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</si>
  <si>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</si>
  <si>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</si>
  <si>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</si>
  <si>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</si>
  <si>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</si>
  <si>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</si>
  <si>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</si>
  <si>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</si>
  <si>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</si>
  <si>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</si>
  <si>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</si>
  <si>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</si>
  <si>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</si>
  <si>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</si>
  <si>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</si>
  <si>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</si>
  <si>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</si>
  <si>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</si>
  <si>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</si>
  <si>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</si>
  <si>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</si>
  <si>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</si>
  <si>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</si>
  <si>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</si>
  <si>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</si>
  <si>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</si>
  <si>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</si>
  <si>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</si>
  <si>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</si>
  <si>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</si>
  <si>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</si>
  <si>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</si>
  <si>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</si>
  <si>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</si>
  <si>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</si>
  <si>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</si>
  <si>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</si>
  <si>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</si>
  <si>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</si>
  <si>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</si>
  <si>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</si>
  <si>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</si>
  <si>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</si>
  <si>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</si>
  <si>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</si>
  <si>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</si>
  <si>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</si>
  <si>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</si>
  <si>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</si>
  <si>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</si>
  <si>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</si>
  <si>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</si>
  <si>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</si>
  <si>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</si>
  <si>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</si>
  <si>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</si>
  <si>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</si>
  <si>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</si>
  <si>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</si>
  <si>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</si>
  <si>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</si>
  <si>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</si>
  <si>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</si>
  <si>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</si>
  <si>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</si>
  <si>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</si>
  <si>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</si>
  <si>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</si>
  <si>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</si>
  <si>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</si>
  <si>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</si>
  <si>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</si>
  <si>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</si>
  <si>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</si>
  <si>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</si>
  <si>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</si>
  <si>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</si>
  <si>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</si>
  <si>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</si>
  <si>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</si>
  <si>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</si>
  <si>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</si>
  <si>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</si>
  <si>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</si>
  <si>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</si>
  <si>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</si>
  <si>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</si>
  <si>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</si>
  <si>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</si>
  <si>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</si>
  <si>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</si>
  <si>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</si>
  <si>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</si>
  <si>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</si>
  <si>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</si>
  <si>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</si>
  <si>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</si>
  <si>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</si>
  <si>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</si>
  <si>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</si>
  <si>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</si>
  <si>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</si>
  <si>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</si>
  <si>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</si>
  <si>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</si>
  <si>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</si>
  <si>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</si>
  <si>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</si>
  <si>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</si>
  <si>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</si>
  <si>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</si>
  <si>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</si>
  <si>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</si>
  <si>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</si>
  <si>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</si>
  <si>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</si>
  <si>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</si>
  <si>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</si>
  <si>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</si>
  <si>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</si>
  <si>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</si>
  <si>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</si>
  <si>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</si>
  <si>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</si>
  <si>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</si>
  <si>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</si>
  <si>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</si>
  <si>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</si>
  <si>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</si>
  <si>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</si>
  <si>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</si>
  <si>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</si>
  <si>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</si>
  <si>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</si>
  <si>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</si>
  <si>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</si>
  <si>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</si>
  <si>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</si>
  <si>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</si>
  <si>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</si>
  <si>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</si>
  <si>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</si>
  <si>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</si>
  <si>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</si>
  <si>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</si>
  <si>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</si>
  <si>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</si>
  <si>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</si>
  <si>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</si>
  <si>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</si>
  <si>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</si>
  <si>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</si>
  <si>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</si>
  <si>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</si>
  <si>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</si>
  <si>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</si>
  <si>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</si>
  <si>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</si>
  <si>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</si>
  <si>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</si>
  <si>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</si>
  <si>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</si>
  <si>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</si>
  <si>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</si>
  <si>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</si>
  <si>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</si>
  <si>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</si>
  <si>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</si>
  <si>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</si>
  <si>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</si>
  <si>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</si>
  <si>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</si>
  <si>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</si>
  <si>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</si>
  <si>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</si>
  <si>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</si>
  <si>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</si>
  <si>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</si>
  <si>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</si>
  <si>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</si>
  <si>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</si>
  <si>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</si>
  <si>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</si>
  <si>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</si>
  <si>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</si>
  <si>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</si>
  <si>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</si>
  <si>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</si>
  <si>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</si>
  <si>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</si>
  <si>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</si>
  <si>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</si>
  <si>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</si>
  <si>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</si>
  <si>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</si>
  <si>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</si>
  <si>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</si>
  <si>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</si>
  <si>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</si>
  <si>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</si>
  <si>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</si>
  <si>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</si>
  <si>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</si>
  <si>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</si>
  <si>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</si>
  <si>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</si>
  <si>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</si>
  <si>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</si>
  <si>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</si>
  <si>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</si>
  <si>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</si>
  <si>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</si>
  <si>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</si>
  <si>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</si>
  <si>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</si>
  <si>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</si>
  <si>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</si>
  <si>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</si>
  <si>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</si>
  <si>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</si>
  <si>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</si>
  <si>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</si>
  <si>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</si>
  <si>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</si>
  <si>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</si>
  <si>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</si>
  <si>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</si>
  <si>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</si>
  <si>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</si>
  <si>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</si>
  <si>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</si>
  <si>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</si>
  <si>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</si>
  <si>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</si>
  <si>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</si>
  <si>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</si>
  <si>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</si>
  <si>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</si>
  <si>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</si>
  <si>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</si>
  <si>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</si>
  <si>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</si>
  <si>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</si>
  <si>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</si>
  <si>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</si>
  <si>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</si>
  <si>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</si>
  <si>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</si>
  <si>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</si>
  <si>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</si>
  <si>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</si>
  <si>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</si>
  <si>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</si>
  <si>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</si>
  <si>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</si>
  <si>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</si>
  <si>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</si>
  <si>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</si>
  <si>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</si>
  <si>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</si>
  <si>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</si>
  <si>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</si>
  <si>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</si>
  <si>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</si>
  <si>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</si>
  <si>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</si>
  <si>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</si>
  <si>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</si>
  <si>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</si>
  <si>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</si>
  <si>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</si>
  <si>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</si>
  <si>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</si>
  <si>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</si>
  <si>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</si>
  <si>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</si>
  <si>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</si>
  <si>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</si>
  <si>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</si>
  <si>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</si>
  <si>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</si>
  <si>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</si>
  <si>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</si>
  <si>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</si>
  <si>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</si>
  <si>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</si>
  <si>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</si>
  <si>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</si>
  <si>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</si>
  <si>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</si>
  <si>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</si>
  <si>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</si>
  <si>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</si>
  <si>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</si>
  <si>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</si>
  <si>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</si>
  <si>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</si>
  <si>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</si>
  <si>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</si>
  <si>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</si>
  <si>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</si>
  <si>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</si>
  <si>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</si>
  <si>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</si>
  <si>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</si>
  <si>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</si>
  <si>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</si>
  <si>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</si>
  <si>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</si>
  <si>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</si>
  <si>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</si>
  <si>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</si>
  <si>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</si>
  <si>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</si>
  <si>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</si>
  <si>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</si>
  <si>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</si>
  <si>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</si>
  <si>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</si>
  <si>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</si>
  <si>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</si>
  <si>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</si>
  <si>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</si>
  <si>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</si>
  <si>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</si>
  <si>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</si>
  <si>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</si>
  <si>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</si>
  <si>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</si>
  <si>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</si>
  <si>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</si>
  <si>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</si>
  <si>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</si>
  <si>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</si>
  <si>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</si>
  <si>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</si>
  <si>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</si>
  <si>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</si>
  <si>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</si>
  <si>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</si>
  <si>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</si>
  <si>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</si>
  <si>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</si>
  <si>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</si>
  <si>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</si>
  <si>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</si>
  <si>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</si>
  <si>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</si>
  <si>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</si>
  <si>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</si>
  <si>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</si>
  <si>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</si>
  <si>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</si>
  <si>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</si>
  <si>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</si>
  <si>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</si>
  <si>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</si>
  <si>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</si>
  <si>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</si>
  <si>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</si>
  <si>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</si>
  <si>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</si>
  <si>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</si>
  <si>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</si>
  <si>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</si>
  <si>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</si>
  <si>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</si>
  <si>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</si>
  <si>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</si>
  <si>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</si>
  <si>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</si>
  <si>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</si>
  <si>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</si>
  <si>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</si>
  <si>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</si>
  <si>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</si>
  <si>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</si>
  <si>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</si>
  <si>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</si>
  <si>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</si>
  <si>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</si>
  <si>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</si>
  <si>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</si>
  <si>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</si>
  <si>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</si>
  <si>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</si>
  <si>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</si>
  <si>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</si>
  <si>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</si>
  <si>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</si>
  <si>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</si>
  <si>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</si>
  <si>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</si>
  <si>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</si>
  <si>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</si>
  <si>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</si>
  <si>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</si>
  <si>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</si>
  <si>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</si>
  <si>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</si>
  <si>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</si>
  <si>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</si>
  <si>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Westmoreland School District</t>
  </si>
  <si>
    <t>08/07</t>
  </si>
  <si>
    <t>08/17</t>
  </si>
  <si>
    <t>08/10</t>
  </si>
  <si>
    <t>08/15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</si>
</sst>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topLeftCell="A637" zoomScale="110" zoomScaleNormal="110" workbookViewId="0">
      <selection activeCell="F51" sqref="F5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/>
      <c r="C2" s="21"/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61186.19-29739.61</f>
        <v>31446.58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3021.05</v>
      </c>
      <c r="G10" s="18"/>
      <c r="H10" s="18"/>
      <c r="I10" s="18"/>
      <c r="J10" s="67">
        <f>SUM(I439)</f>
        <v>157061.53999999998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5034.37+29871.48</f>
        <v>34905.85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2249.7800000000002</v>
      </c>
      <c r="G13" s="18">
        <v>7110.03</v>
      </c>
      <c r="H13" s="18">
        <v>30454.85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2128.17</v>
      </c>
      <c r="G14" s="18">
        <v>926.05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73751.430000000008</v>
      </c>
      <c r="G19" s="41">
        <f>SUM(G9:G18)</f>
        <v>8036.08</v>
      </c>
      <c r="H19" s="41">
        <f>SUM(H9:H18)</f>
        <v>30454.85</v>
      </c>
      <c r="I19" s="41">
        <f>SUM(I9:I18)</f>
        <v>0</v>
      </c>
      <c r="J19" s="41">
        <f>SUM(J9:J18)</f>
        <v>157061.53999999998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5034.37</v>
      </c>
      <c r="H22" s="18">
        <v>29871.48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1377.2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10417.129999999999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7719.47</v>
      </c>
      <c r="G28" s="18">
        <v>1690.35</v>
      </c>
      <c r="H28" s="18">
        <v>583.37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1311.36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19513.8</v>
      </c>
      <c r="G32" s="41">
        <f>SUM(G22:G31)</f>
        <v>8036.079999999999</v>
      </c>
      <c r="H32" s="41">
        <f>SUM(H22:H31)</f>
        <v>30454.85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38876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11043.25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157061.53999999998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4318.38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54237.63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157061.53999999998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73751.429999999993</v>
      </c>
      <c r="G51" s="41">
        <f>G50+G32</f>
        <v>8036.079999999999</v>
      </c>
      <c r="H51" s="41">
        <f>H50+H32</f>
        <v>30454.85</v>
      </c>
      <c r="I51" s="41">
        <f>I50+I32</f>
        <v>0</v>
      </c>
      <c r="J51" s="41">
        <f>J50+J32</f>
        <v>157061.53999999998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1959848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1959848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1694.34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1694.34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264.58999999999997</v>
      </c>
      <c r="G95" s="18"/>
      <c r="H95" s="18"/>
      <c r="I95" s="18"/>
      <c r="J95" s="18">
        <f>452.39+107.04</f>
        <v>559.42999999999995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40635.25+2625.41+660</f>
        <v>43920.66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183.86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31097.95+3614.86</f>
        <v>34712.81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35161.259999999995</v>
      </c>
      <c r="G110" s="41">
        <f>SUM(G95:G109)</f>
        <v>43920.66</v>
      </c>
      <c r="H110" s="41">
        <f>SUM(H95:H109)</f>
        <v>0</v>
      </c>
      <c r="I110" s="41">
        <f>SUM(I95:I109)</f>
        <v>0</v>
      </c>
      <c r="J110" s="41">
        <f>SUM(J95:J109)</f>
        <v>559.42999999999995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1996703.6</v>
      </c>
      <c r="G111" s="41">
        <f>G59+G110</f>
        <v>43920.66</v>
      </c>
      <c r="H111" s="41">
        <f>H59+H78+H93+H110</f>
        <v>0</v>
      </c>
      <c r="I111" s="41">
        <f>I59+I110</f>
        <v>0</v>
      </c>
      <c r="J111" s="41">
        <f>J59+J110</f>
        <v>559.42999999999995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614400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433606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1048006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29730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23169.56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826.71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52899.56</v>
      </c>
      <c r="G135" s="41">
        <f>SUM(G122:G134)</f>
        <v>826.71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1100905.56</v>
      </c>
      <c r="G139" s="41">
        <f>G120+SUM(G135:G136)</f>
        <v>826.71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f>4907.76+11575.43</f>
        <v>16483.190000000002</v>
      </c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24.12+16540.53</f>
        <v>16564.649999999998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4423.46+5901.57</f>
        <v>10325.029999999999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33345.370000000003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1943.86+42795.24</f>
        <v>44739.1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29087.62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29087.62</v>
      </c>
      <c r="G161" s="41">
        <f>SUM(G149:G160)</f>
        <v>33345.370000000003</v>
      </c>
      <c r="H161" s="41">
        <f>SUM(H149:H160)</f>
        <v>88111.97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29087.62</v>
      </c>
      <c r="G168" s="41">
        <f>G146+G161+SUM(G162:G167)</f>
        <v>33345.370000000003</v>
      </c>
      <c r="H168" s="41">
        <f>H146+H161+SUM(H162:H167)</f>
        <v>88111.97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32987.93</v>
      </c>
      <c r="H178" s="18"/>
      <c r="I178" s="18"/>
      <c r="J178" s="18">
        <v>4044.6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32987.93</v>
      </c>
      <c r="H182" s="41">
        <f>SUM(H178:H181)</f>
        <v>0</v>
      </c>
      <c r="I182" s="41">
        <f>SUM(I178:I181)</f>
        <v>0</v>
      </c>
      <c r="J182" s="41">
        <f>SUM(J178:J181)</f>
        <v>4044.6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32987.93</v>
      </c>
      <c r="H191" s="41">
        <f>+H182+SUM(H187:H190)</f>
        <v>0</v>
      </c>
      <c r="I191" s="41">
        <f>I176+I182+SUM(I187:I190)</f>
        <v>0</v>
      </c>
      <c r="J191" s="41">
        <f>J182</f>
        <v>4044.6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3126696.7800000003</v>
      </c>
      <c r="G192" s="47">
        <f>G111+G139+G168+G191</f>
        <v>111080.67000000001</v>
      </c>
      <c r="H192" s="47">
        <f>H111+H139+H168+H191</f>
        <v>88111.97</v>
      </c>
      <c r="I192" s="47">
        <f>I111+I139+I168+I191</f>
        <v>0</v>
      </c>
      <c r="J192" s="47">
        <f>J111+J139+J191</f>
        <v>4604.03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617905.34</v>
      </c>
      <c r="G196" s="18">
        <v>247332.7</v>
      </c>
      <c r="H196" s="18">
        <v>354.44</v>
      </c>
      <c r="I196" s="18">
        <v>16612.900000000001</v>
      </c>
      <c r="J196" s="18">
        <v>3247.08</v>
      </c>
      <c r="K196" s="18"/>
      <c r="L196" s="19">
        <f>SUM(F196:K196)</f>
        <v>885452.46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108285</v>
      </c>
      <c r="G197" s="18">
        <v>48206.76</v>
      </c>
      <c r="H197" s="18">
        <v>137009.73000000001</v>
      </c>
      <c r="I197" s="18">
        <v>245.62</v>
      </c>
      <c r="J197" s="18"/>
      <c r="K197" s="18"/>
      <c r="L197" s="19">
        <f>SUM(F197:K197)</f>
        <v>293747.11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9665.01+550</f>
        <v>10215.01</v>
      </c>
      <c r="G199" s="18">
        <f>1673.19+106.16</f>
        <v>1779.3500000000001</v>
      </c>
      <c r="H199" s="18">
        <f>3527.27+1125</f>
        <v>4652.2700000000004</v>
      </c>
      <c r="I199" s="18">
        <v>1399.78</v>
      </c>
      <c r="J199" s="18">
        <v>468.56</v>
      </c>
      <c r="K199" s="18">
        <v>1837</v>
      </c>
      <c r="L199" s="19">
        <f>SUM(F199:K199)</f>
        <v>20351.97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20401.42+21772.34</f>
        <v>42173.759999999995</v>
      </c>
      <c r="G201" s="18">
        <f>1632.28+1741.99</f>
        <v>3374.27</v>
      </c>
      <c r="H201" s="18">
        <f>2704.4+12682.28+46607.94+22427.29</f>
        <v>84421.91</v>
      </c>
      <c r="I201" s="18">
        <f>222.4+471.94+204.32</f>
        <v>898.66000000000008</v>
      </c>
      <c r="J201" s="18"/>
      <c r="K201" s="18"/>
      <c r="L201" s="19">
        <f t="shared" ref="L201:L207" si="0">SUM(F201:K201)</f>
        <v>130868.6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165+38839.92</f>
        <v>39004.92</v>
      </c>
      <c r="G202" s="18">
        <f>12.63+14607.65</f>
        <v>14620.279999999999</v>
      </c>
      <c r="H202" s="18">
        <v>2086</v>
      </c>
      <c r="I202" s="18">
        <f>79.82+3567.19</f>
        <v>3647.01</v>
      </c>
      <c r="J202" s="18"/>
      <c r="K202" s="18"/>
      <c r="L202" s="19">
        <f t="shared" si="0"/>
        <v>59358.21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574.69+2000</f>
        <v>2574.69</v>
      </c>
      <c r="G203" s="18">
        <f>97.19+160+1000</f>
        <v>1257.19</v>
      </c>
      <c r="H203" s="18">
        <f>100.25+100+120+6300+90+100+172412</f>
        <v>179222.25</v>
      </c>
      <c r="I203" s="18">
        <v>644.45000000000005</v>
      </c>
      <c r="J203" s="18"/>
      <c r="K203" s="18"/>
      <c r="L203" s="19">
        <f t="shared" si="0"/>
        <v>183698.58000000002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103796.43</v>
      </c>
      <c r="G204" s="18">
        <v>38611.03</v>
      </c>
      <c r="H204" s="18">
        <v>22011.77</v>
      </c>
      <c r="I204" s="18">
        <f>2374.68+281.8</f>
        <v>2656.48</v>
      </c>
      <c r="J204" s="18"/>
      <c r="K204" s="18">
        <v>834</v>
      </c>
      <c r="L204" s="19">
        <f t="shared" si="0"/>
        <v>167909.71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51371.75</v>
      </c>
      <c r="G206" s="18">
        <v>27156.69</v>
      </c>
      <c r="H206" s="18">
        <v>73307.83</v>
      </c>
      <c r="I206" s="18">
        <v>62054.22</v>
      </c>
      <c r="J206" s="18">
        <v>7000</v>
      </c>
      <c r="K206" s="18"/>
      <c r="L206" s="19">
        <f t="shared" si="0"/>
        <v>220890.49000000002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137483.93+50121+3135.5+4270.7</f>
        <v>195011.13</v>
      </c>
      <c r="I207" s="18"/>
      <c r="J207" s="18"/>
      <c r="K207" s="18"/>
      <c r="L207" s="19">
        <f t="shared" si="0"/>
        <v>195011.13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>
        <v>3.51</v>
      </c>
      <c r="H208" s="18">
        <v>351.5</v>
      </c>
      <c r="I208" s="18"/>
      <c r="J208" s="18"/>
      <c r="K208" s="18"/>
      <c r="L208" s="19">
        <f>SUM(F208:K208)</f>
        <v>355.01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975326.89999999991</v>
      </c>
      <c r="G210" s="41">
        <f t="shared" si="1"/>
        <v>382341.77999999997</v>
      </c>
      <c r="H210" s="41">
        <f t="shared" si="1"/>
        <v>698428.83000000007</v>
      </c>
      <c r="I210" s="41">
        <f t="shared" si="1"/>
        <v>88159.12</v>
      </c>
      <c r="J210" s="41">
        <f t="shared" si="1"/>
        <v>10715.64</v>
      </c>
      <c r="K210" s="41">
        <f t="shared" si="1"/>
        <v>2671</v>
      </c>
      <c r="L210" s="41">
        <f t="shared" si="1"/>
        <v>2157643.2699999996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620941.65</v>
      </c>
      <c r="I232" s="18"/>
      <c r="J232" s="18"/>
      <c r="K232" s="18"/>
      <c r="L232" s="19">
        <f>SUM(F232:K232)</f>
        <v>620941.65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109480.55</v>
      </c>
      <c r="I233" s="18"/>
      <c r="J233" s="18"/>
      <c r="K233" s="18"/>
      <c r="L233" s="19">
        <f>SUM(F233:K233)</f>
        <v>109480.55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46233.3</v>
      </c>
      <c r="I243" s="18"/>
      <c r="J243" s="18"/>
      <c r="K243" s="18"/>
      <c r="L243" s="19">
        <f t="shared" si="4"/>
        <v>46233.3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776655.50000000012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776655.50000000012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975326.89999999991</v>
      </c>
      <c r="G256" s="41">
        <f t="shared" si="8"/>
        <v>382341.77999999997</v>
      </c>
      <c r="H256" s="41">
        <f t="shared" si="8"/>
        <v>1475084.33</v>
      </c>
      <c r="I256" s="41">
        <f t="shared" si="8"/>
        <v>88159.12</v>
      </c>
      <c r="J256" s="41">
        <f t="shared" si="8"/>
        <v>10715.64</v>
      </c>
      <c r="K256" s="41">
        <f t="shared" si="8"/>
        <v>2671</v>
      </c>
      <c r="L256" s="41">
        <f t="shared" si="8"/>
        <v>2934298.7699999996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90000</v>
      </c>
      <c r="L259" s="19">
        <f>SUM(F259:K259)</f>
        <v>90000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15456.25</v>
      </c>
      <c r="L260" s="19">
        <f>SUM(F260:K260)</f>
        <v>15456.25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f>32987.93</f>
        <v>32987.93</v>
      </c>
      <c r="L262" s="19">
        <f>SUM(F262:K262)</f>
        <v>32987.93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4044.6</v>
      </c>
      <c r="L265" s="19">
        <f t="shared" si="9"/>
        <v>4044.6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142488.78</v>
      </c>
      <c r="L269" s="41">
        <f t="shared" si="9"/>
        <v>142488.78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975326.89999999991</v>
      </c>
      <c r="G270" s="42">
        <f t="shared" si="11"/>
        <v>382341.77999999997</v>
      </c>
      <c r="H270" s="42">
        <f t="shared" si="11"/>
        <v>1475084.33</v>
      </c>
      <c r="I270" s="42">
        <f t="shared" si="11"/>
        <v>88159.12</v>
      </c>
      <c r="J270" s="42">
        <f t="shared" si="11"/>
        <v>10715.64</v>
      </c>
      <c r="K270" s="42">
        <f t="shared" si="11"/>
        <v>145159.78</v>
      </c>
      <c r="L270" s="42">
        <f t="shared" si="11"/>
        <v>3076787.5499999993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13293.48</v>
      </c>
      <c r="G275" s="18">
        <f>1016.95+46.53</f>
        <v>1063.48</v>
      </c>
      <c r="H275" s="18"/>
      <c r="I275" s="18">
        <f>70.93+159.34</f>
        <v>230.27</v>
      </c>
      <c r="J275" s="18">
        <f>4907.76+11575.43</f>
        <v>16483.190000000002</v>
      </c>
      <c r="K275" s="18"/>
      <c r="L275" s="19">
        <f>SUM(F275:K275)</f>
        <v>31070.420000000002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673.08+14000</f>
        <v>14673.08</v>
      </c>
      <c r="G276" s="18">
        <f>51.49+1150+2.36+58.92</f>
        <v>1262.77</v>
      </c>
      <c r="H276" s="18"/>
      <c r="I276" s="18"/>
      <c r="J276" s="18">
        <f>1107+6822</f>
        <v>7929</v>
      </c>
      <c r="K276" s="18"/>
      <c r="L276" s="19">
        <f>SUM(F276:K276)</f>
        <v>23864.85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>
        <v>237.44</v>
      </c>
      <c r="J280" s="18"/>
      <c r="K280" s="18"/>
      <c r="L280" s="19">
        <f t="shared" ref="L280:L286" si="12">SUM(F280:K280)</f>
        <v>237.44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1795</v>
      </c>
      <c r="G281" s="18">
        <f>137.32+169.49+6.86</f>
        <v>313.67</v>
      </c>
      <c r="H281" s="18">
        <f>4150+421.86+1438.61+19000+100</f>
        <v>25110.47</v>
      </c>
      <c r="I281" s="18">
        <f>959+682.29</f>
        <v>1641.29</v>
      </c>
      <c r="J281" s="18"/>
      <c r="K281" s="18"/>
      <c r="L281" s="19">
        <f t="shared" si="12"/>
        <v>28860.43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>
        <v>1058</v>
      </c>
      <c r="I282" s="18"/>
      <c r="J282" s="18"/>
      <c r="K282" s="18"/>
      <c r="L282" s="19">
        <f t="shared" si="12"/>
        <v>1058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3020.83</v>
      </c>
      <c r="L284" s="19">
        <f t="shared" si="12"/>
        <v>3020.83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29761.559999999998</v>
      </c>
      <c r="G289" s="42">
        <f t="shared" si="13"/>
        <v>2639.92</v>
      </c>
      <c r="H289" s="42">
        <f t="shared" si="13"/>
        <v>26168.47</v>
      </c>
      <c r="I289" s="42">
        <f t="shared" si="13"/>
        <v>2109</v>
      </c>
      <c r="J289" s="42">
        <f t="shared" si="13"/>
        <v>24412.190000000002</v>
      </c>
      <c r="K289" s="42">
        <f t="shared" si="13"/>
        <v>3020.83</v>
      </c>
      <c r="L289" s="41">
        <f t="shared" si="13"/>
        <v>88111.970000000016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29761.559999999998</v>
      </c>
      <c r="G337" s="41">
        <f t="shared" si="20"/>
        <v>2639.92</v>
      </c>
      <c r="H337" s="41">
        <f t="shared" si="20"/>
        <v>26168.47</v>
      </c>
      <c r="I337" s="41">
        <f t="shared" si="20"/>
        <v>2109</v>
      </c>
      <c r="J337" s="41">
        <f t="shared" si="20"/>
        <v>24412.190000000002</v>
      </c>
      <c r="K337" s="41">
        <f t="shared" si="20"/>
        <v>3020.83</v>
      </c>
      <c r="L337" s="41">
        <f t="shared" si="20"/>
        <v>88111.970000000016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29761.559999999998</v>
      </c>
      <c r="G351" s="41">
        <f>G337</f>
        <v>2639.92</v>
      </c>
      <c r="H351" s="41">
        <f>H337</f>
        <v>26168.47</v>
      </c>
      <c r="I351" s="41">
        <f>I337</f>
        <v>2109</v>
      </c>
      <c r="J351" s="41">
        <f>J337</f>
        <v>24412.190000000002</v>
      </c>
      <c r="K351" s="47">
        <f>K337+K350</f>
        <v>3020.83</v>
      </c>
      <c r="L351" s="41">
        <f>L337+L350</f>
        <v>88111.970000000016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32162</v>
      </c>
      <c r="G357" s="18">
        <f>13458.6+497+57+92.82+2155.74+2201.23+600.78</f>
        <v>19063.169999999998</v>
      </c>
      <c r="H357" s="18">
        <f>288.86+41.81</f>
        <v>330.67</v>
      </c>
      <c r="I357" s="18">
        <f>6233.83+52584.69+325</f>
        <v>59143.520000000004</v>
      </c>
      <c r="J357" s="18">
        <v>224.56</v>
      </c>
      <c r="K357" s="18">
        <v>156.75</v>
      </c>
      <c r="L357" s="13">
        <f>SUM(F357:K357)</f>
        <v>111080.67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32162</v>
      </c>
      <c r="G361" s="47">
        <f t="shared" si="22"/>
        <v>19063.169999999998</v>
      </c>
      <c r="H361" s="47">
        <f t="shared" si="22"/>
        <v>330.67</v>
      </c>
      <c r="I361" s="47">
        <f t="shared" si="22"/>
        <v>59143.520000000004</v>
      </c>
      <c r="J361" s="47">
        <f t="shared" si="22"/>
        <v>224.56</v>
      </c>
      <c r="K361" s="47">
        <f t="shared" si="22"/>
        <v>156.75</v>
      </c>
      <c r="L361" s="47">
        <f t="shared" si="22"/>
        <v>111080.67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52584.69</v>
      </c>
      <c r="G366" s="18"/>
      <c r="H366" s="18"/>
      <c r="I366" s="56">
        <f>SUM(F366:H366)</f>
        <v>52584.69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6233.83+325</f>
        <v>6558.83</v>
      </c>
      <c r="G367" s="63"/>
      <c r="H367" s="63"/>
      <c r="I367" s="56">
        <f>SUM(F367:H367)</f>
        <v>6558.83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59143.520000000004</v>
      </c>
      <c r="G368" s="47">
        <f>SUM(G366:G367)</f>
        <v>0</v>
      </c>
      <c r="H368" s="47">
        <f>SUM(H366:H367)</f>
        <v>0</v>
      </c>
      <c r="I368" s="47">
        <f>SUM(I366:I367)</f>
        <v>59143.520000000004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4044.6</v>
      </c>
      <c r="H388" s="18">
        <v>107.04</v>
      </c>
      <c r="I388" s="18"/>
      <c r="J388" s="24" t="s">
        <v>289</v>
      </c>
      <c r="K388" s="24" t="s">
        <v>289</v>
      </c>
      <c r="L388" s="56">
        <f t="shared" si="25"/>
        <v>4151.6400000000003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4044.6</v>
      </c>
      <c r="H392" s="139">
        <f>SUM(H386:H391)</f>
        <v>107.04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4151.6400000000003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452.39</v>
      </c>
      <c r="I397" s="18"/>
      <c r="J397" s="24" t="s">
        <v>289</v>
      </c>
      <c r="K397" s="24" t="s">
        <v>289</v>
      </c>
      <c r="L397" s="56">
        <f t="shared" si="26"/>
        <v>452.39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452.39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452.39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4044.6</v>
      </c>
      <c r="H407" s="47">
        <f>H392+H400+H406</f>
        <v>559.42999999999995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4604.0300000000007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20207.669999999998</v>
      </c>
      <c r="G439" s="18">
        <v>136853.87</v>
      </c>
      <c r="H439" s="18"/>
      <c r="I439" s="56">
        <f t="shared" si="33"/>
        <v>157061.53999999998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20207.669999999998</v>
      </c>
      <c r="G445" s="13">
        <f>SUM(G438:G444)</f>
        <v>136853.87</v>
      </c>
      <c r="H445" s="13">
        <f>SUM(H438:H444)</f>
        <v>0</v>
      </c>
      <c r="I445" s="13">
        <f>SUM(I438:I444)</f>
        <v>157061.53999999998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20207.669999999998</v>
      </c>
      <c r="G458" s="18">
        <v>136853.87</v>
      </c>
      <c r="H458" s="18"/>
      <c r="I458" s="56">
        <f t="shared" si="34"/>
        <v>157061.53999999998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20207.669999999998</v>
      </c>
      <c r="G459" s="83">
        <f>SUM(G453:G458)</f>
        <v>136853.87</v>
      </c>
      <c r="H459" s="83">
        <f>SUM(H453:H458)</f>
        <v>0</v>
      </c>
      <c r="I459" s="83">
        <f>SUM(I453:I458)</f>
        <v>157061.53999999998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20207.669999999998</v>
      </c>
      <c r="G460" s="42">
        <f>G451+G459</f>
        <v>136853.87</v>
      </c>
      <c r="H460" s="42">
        <f>H451+H459</f>
        <v>0</v>
      </c>
      <c r="I460" s="42">
        <f>I451+I459</f>
        <v>157061.53999999998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4328.3999999999996</v>
      </c>
      <c r="G464" s="18">
        <v>0</v>
      </c>
      <c r="H464" s="18">
        <v>0</v>
      </c>
      <c r="I464" s="18">
        <v>0</v>
      </c>
      <c r="J464" s="18">
        <f>16056.03+136401.48</f>
        <v>152457.51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3126696.78</v>
      </c>
      <c r="G467" s="18">
        <v>111080.67</v>
      </c>
      <c r="H467" s="18">
        <v>88111.97</v>
      </c>
      <c r="I467" s="18"/>
      <c r="J467" s="18">
        <f>452.39+4044.6+107.04</f>
        <v>4604.03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3126696.78</v>
      </c>
      <c r="G469" s="53">
        <f>SUM(G467:G468)</f>
        <v>111080.67</v>
      </c>
      <c r="H469" s="53">
        <f>SUM(H467:H468)</f>
        <v>88111.97</v>
      </c>
      <c r="I469" s="53">
        <f>SUM(I467:I468)</f>
        <v>0</v>
      </c>
      <c r="J469" s="53">
        <f>SUM(J467:J468)</f>
        <v>4604.03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3076787.55</v>
      </c>
      <c r="G471" s="18">
        <v>111080.67</v>
      </c>
      <c r="H471" s="18">
        <v>88111.97</v>
      </c>
      <c r="I471" s="18"/>
      <c r="J471" s="18">
        <v>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3076787.55</v>
      </c>
      <c r="G473" s="53">
        <f>SUM(G471:G472)</f>
        <v>111080.67</v>
      </c>
      <c r="H473" s="53">
        <f>SUM(H471:H472)</f>
        <v>88111.97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54237.629999999888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157061.54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>
        <v>5</v>
      </c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912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 t="s">
        <v>913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440000</v>
      </c>
      <c r="G492" s="18">
        <v>215000</v>
      </c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4.28</v>
      </c>
      <c r="G493" s="18">
        <v>1.99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300000</v>
      </c>
      <c r="G494" s="18">
        <v>165000</v>
      </c>
      <c r="H494" s="18"/>
      <c r="I494" s="18"/>
      <c r="J494" s="18"/>
      <c r="K494" s="53">
        <f>SUM(F494:J494)</f>
        <v>465000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45000</v>
      </c>
      <c r="G496" s="18">
        <v>45000</v>
      </c>
      <c r="H496" s="18"/>
      <c r="I496" s="18"/>
      <c r="J496" s="18"/>
      <c r="K496" s="53">
        <f t="shared" si="35"/>
        <v>90000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210000</v>
      </c>
      <c r="G497" s="204">
        <v>120000</v>
      </c>
      <c r="H497" s="204"/>
      <c r="I497" s="204"/>
      <c r="J497" s="204"/>
      <c r="K497" s="205">
        <f t="shared" si="35"/>
        <v>330000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24825</v>
      </c>
      <c r="G498" s="18">
        <v>6000</v>
      </c>
      <c r="H498" s="18"/>
      <c r="I498" s="18"/>
      <c r="J498" s="18"/>
      <c r="K498" s="53">
        <f t="shared" si="35"/>
        <v>30825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234825</v>
      </c>
      <c r="G499" s="42">
        <f>SUM(G497:G498)</f>
        <v>126000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360825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45000</v>
      </c>
      <c r="G500" s="204">
        <v>40000</v>
      </c>
      <c r="H500" s="204"/>
      <c r="I500" s="204"/>
      <c r="J500" s="204"/>
      <c r="K500" s="205">
        <f t="shared" si="35"/>
        <v>85000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3956.25+4912.5</f>
        <v>8868.75</v>
      </c>
      <c r="G501" s="18">
        <v>3400</v>
      </c>
      <c r="H501" s="18"/>
      <c r="I501" s="18"/>
      <c r="J501" s="18"/>
      <c r="K501" s="53">
        <f t="shared" si="35"/>
        <v>12268.75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53868.75</v>
      </c>
      <c r="G502" s="42">
        <f>SUM(G500:G501)</f>
        <v>43400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97268.75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44445.98+23768.62+40070.4+673.08+14000</f>
        <v>122958.08</v>
      </c>
      <c r="G520" s="18">
        <f>33770.52+1077.6+142.5+255+7889.17+4702.88+369.09+51.49+1150+2.36+58.92</f>
        <v>49469.529999999984</v>
      </c>
      <c r="H520" s="18">
        <f>39171.99+79095</f>
        <v>118266.98999999999</v>
      </c>
      <c r="I520" s="18">
        <v>245.62</v>
      </c>
      <c r="J520" s="18">
        <f>1107+6822</f>
        <v>7929</v>
      </c>
      <c r="K520" s="18"/>
      <c r="L520" s="88">
        <f>SUM(F520:K520)</f>
        <v>298869.21999999997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109480.55</v>
      </c>
      <c r="I522" s="18"/>
      <c r="J522" s="18"/>
      <c r="K522" s="18"/>
      <c r="L522" s="88">
        <f>SUM(F522:K522)</f>
        <v>109480.55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122958.08</v>
      </c>
      <c r="G523" s="108">
        <f t="shared" ref="G523:L523" si="36">SUM(G520:G522)</f>
        <v>49469.529999999984</v>
      </c>
      <c r="H523" s="108">
        <f t="shared" si="36"/>
        <v>227747.53999999998</v>
      </c>
      <c r="I523" s="108">
        <f t="shared" si="36"/>
        <v>245.62</v>
      </c>
      <c r="J523" s="108">
        <f t="shared" si="36"/>
        <v>7929</v>
      </c>
      <c r="K523" s="108">
        <f t="shared" si="36"/>
        <v>0</v>
      </c>
      <c r="L523" s="89">
        <f t="shared" si="36"/>
        <v>408349.76999999996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566.9+12682.28+46607.94+22427.29+19000</f>
        <v>101284.41</v>
      </c>
      <c r="I525" s="18">
        <v>204.32</v>
      </c>
      <c r="J525" s="18"/>
      <c r="K525" s="18"/>
      <c r="L525" s="88">
        <f>SUM(F525:K525)</f>
        <v>101488.73000000001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101284.41</v>
      </c>
      <c r="I528" s="89">
        <f t="shared" si="37"/>
        <v>204.32</v>
      </c>
      <c r="J528" s="89">
        <f t="shared" si="37"/>
        <v>0</v>
      </c>
      <c r="K528" s="89">
        <f t="shared" si="37"/>
        <v>0</v>
      </c>
      <c r="L528" s="89">
        <f t="shared" si="37"/>
        <v>101488.73000000001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18150</v>
      </c>
      <c r="I530" s="18"/>
      <c r="J530" s="18"/>
      <c r="K530" s="18">
        <v>1874.25</v>
      </c>
      <c r="L530" s="88">
        <f>SUM(F530:K530)</f>
        <v>20024.25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18150</v>
      </c>
      <c r="I533" s="89">
        <f t="shared" si="38"/>
        <v>0</v>
      </c>
      <c r="J533" s="89">
        <f t="shared" si="38"/>
        <v>0</v>
      </c>
      <c r="K533" s="89">
        <f t="shared" si="38"/>
        <v>1874.25</v>
      </c>
      <c r="L533" s="89">
        <f t="shared" si="38"/>
        <v>20024.25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50121</v>
      </c>
      <c r="I540" s="18"/>
      <c r="J540" s="18"/>
      <c r="K540" s="18"/>
      <c r="L540" s="88">
        <f>SUM(F540:K540)</f>
        <v>50121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50121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50121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122958.08</v>
      </c>
      <c r="G544" s="89">
        <f t="shared" ref="G544:L544" si="41">G523+G528+G533+G538+G543</f>
        <v>49469.529999999984</v>
      </c>
      <c r="H544" s="89">
        <f t="shared" si="41"/>
        <v>397302.94999999995</v>
      </c>
      <c r="I544" s="89">
        <f t="shared" si="41"/>
        <v>449.94</v>
      </c>
      <c r="J544" s="89">
        <f t="shared" si="41"/>
        <v>7929</v>
      </c>
      <c r="K544" s="89">
        <f t="shared" si="41"/>
        <v>1874.25</v>
      </c>
      <c r="L544" s="89">
        <f t="shared" si="41"/>
        <v>579983.75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298869.21999999997</v>
      </c>
      <c r="G548" s="87">
        <f>L525</f>
        <v>101488.73000000001</v>
      </c>
      <c r="H548" s="87">
        <f>L530</f>
        <v>20024.25</v>
      </c>
      <c r="I548" s="87">
        <f>L535</f>
        <v>0</v>
      </c>
      <c r="J548" s="87">
        <f>L540</f>
        <v>50121</v>
      </c>
      <c r="K548" s="87">
        <f>SUM(F548:J548)</f>
        <v>470503.19999999995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109480.55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109480.55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408349.76999999996</v>
      </c>
      <c r="G551" s="89">
        <f t="shared" si="42"/>
        <v>101488.73000000001</v>
      </c>
      <c r="H551" s="89">
        <f t="shared" si="42"/>
        <v>20024.25</v>
      </c>
      <c r="I551" s="89">
        <f t="shared" si="42"/>
        <v>0</v>
      </c>
      <c r="J551" s="89">
        <f t="shared" si="42"/>
        <v>50121</v>
      </c>
      <c r="K551" s="89">
        <f t="shared" si="42"/>
        <v>579983.75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620941.65</v>
      </c>
      <c r="I574" s="87">
        <f>SUM(F574:H574)</f>
        <v>620941.65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39171.99+17742.74</f>
        <v>56914.729999999996</v>
      </c>
      <c r="G578" s="18"/>
      <c r="H578" s="18">
        <v>109480.55</v>
      </c>
      <c r="I578" s="87">
        <f t="shared" si="47"/>
        <v>166395.28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79095</v>
      </c>
      <c r="G581" s="18"/>
      <c r="H581" s="18"/>
      <c r="I581" s="87">
        <f t="shared" si="47"/>
        <v>79095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137483.93</v>
      </c>
      <c r="I590" s="18"/>
      <c r="J590" s="18">
        <v>46233.3</v>
      </c>
      <c r="K590" s="104">
        <f t="shared" ref="K590:K596" si="48">SUM(H590:J590)</f>
        <v>183717.22999999998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50121</v>
      </c>
      <c r="I591" s="18"/>
      <c r="J591" s="18"/>
      <c r="K591" s="104">
        <f t="shared" si="48"/>
        <v>50121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3135.5</v>
      </c>
      <c r="I593" s="18"/>
      <c r="J593" s="18"/>
      <c r="K593" s="104">
        <f t="shared" si="48"/>
        <v>3135.5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4270.7</v>
      </c>
      <c r="I594" s="18"/>
      <c r="J594" s="18"/>
      <c r="K594" s="104">
        <f t="shared" si="48"/>
        <v>4270.7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195011.13</v>
      </c>
      <c r="I597" s="108">
        <f>SUM(I590:I596)</f>
        <v>0</v>
      </c>
      <c r="J597" s="108">
        <f>SUM(J590:J596)</f>
        <v>46233.3</v>
      </c>
      <c r="K597" s="108">
        <f>SUM(K590:K596)</f>
        <v>241244.43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35127.83</v>
      </c>
      <c r="I603" s="18"/>
      <c r="J603" s="18"/>
      <c r="K603" s="104">
        <f>SUM(H603:J603)</f>
        <v>35127.83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35127.83</v>
      </c>
      <c r="I604" s="108">
        <f>SUM(I601:I603)</f>
        <v>0</v>
      </c>
      <c r="J604" s="108">
        <f>SUM(J601:J603)</f>
        <v>0</v>
      </c>
      <c r="K604" s="108">
        <f>SUM(K601:K603)</f>
        <v>35127.83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550</v>
      </c>
      <c r="G610" s="18">
        <f>42.08+62.15+1.93</f>
        <v>106.16</v>
      </c>
      <c r="H610" s="18">
        <v>1125</v>
      </c>
      <c r="I610" s="18"/>
      <c r="J610" s="18"/>
      <c r="K610" s="18"/>
      <c r="L610" s="88">
        <f>SUM(F610:K610)</f>
        <v>1781.1599999999999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550</v>
      </c>
      <c r="G613" s="108">
        <f t="shared" si="49"/>
        <v>106.16</v>
      </c>
      <c r="H613" s="108">
        <f t="shared" si="49"/>
        <v>1125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1781.1599999999999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73751.430000000008</v>
      </c>
      <c r="H616" s="109">
        <f>SUM(F51)</f>
        <v>73751.429999999993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8036.08</v>
      </c>
      <c r="H617" s="109">
        <f>SUM(G51)</f>
        <v>8036.079999999999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30454.85</v>
      </c>
      <c r="H618" s="109">
        <f>SUM(H51)</f>
        <v>30454.85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157061.53999999998</v>
      </c>
      <c r="H620" s="109">
        <f>SUM(J51)</f>
        <v>157061.53999999998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54237.63</v>
      </c>
      <c r="H621" s="109">
        <f>F475</f>
        <v>54237.629999999888</v>
      </c>
      <c r="I621" s="121" t="s">
        <v>101</v>
      </c>
      <c r="J621" s="109">
        <f t="shared" ref="J621:J654" si="50">G621-H621</f>
        <v>1.0913936421275139E-10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157061.53999999998</v>
      </c>
      <c r="H625" s="109">
        <f>J475</f>
        <v>157061.54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3126696.7800000003</v>
      </c>
      <c r="H626" s="104">
        <f>SUM(F467)</f>
        <v>3126696.78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111080.67000000001</v>
      </c>
      <c r="H627" s="104">
        <f>SUM(G467)</f>
        <v>111080.67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88111.97</v>
      </c>
      <c r="H628" s="104">
        <f>SUM(H467)</f>
        <v>88111.97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4604.03</v>
      </c>
      <c r="H630" s="104">
        <f>SUM(J467)</f>
        <v>4604.03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3076787.5499999993</v>
      </c>
      <c r="H631" s="104">
        <f>SUM(F471)</f>
        <v>3076787.55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88111.970000000016</v>
      </c>
      <c r="H632" s="104">
        <f>SUM(H471)</f>
        <v>88111.97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59143.520000000004</v>
      </c>
      <c r="H633" s="104">
        <f>I368</f>
        <v>59143.520000000004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111080.67</v>
      </c>
      <c r="H634" s="104">
        <f>SUM(G471)</f>
        <v>111080.67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4604.0300000000007</v>
      </c>
      <c r="H636" s="164">
        <f>SUM(J467)</f>
        <v>4604.03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20207.669999999998</v>
      </c>
      <c r="H638" s="104">
        <f>SUM(F460)</f>
        <v>20207.669999999998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136853.87</v>
      </c>
      <c r="H639" s="104">
        <f>SUM(G460)</f>
        <v>136853.87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157061.53999999998</v>
      </c>
      <c r="H641" s="104">
        <f>SUM(I460)</f>
        <v>157061.53999999998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559.42999999999995</v>
      </c>
      <c r="H643" s="104">
        <f>H407</f>
        <v>559.42999999999995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4044.6</v>
      </c>
      <c r="H644" s="104">
        <f>G407</f>
        <v>4044.6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4604.03</v>
      </c>
      <c r="H645" s="104">
        <f>L407</f>
        <v>4604.0300000000007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241244.43</v>
      </c>
      <c r="H646" s="104">
        <f>L207+L225+L243</f>
        <v>241244.43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35127.83</v>
      </c>
      <c r="H647" s="104">
        <f>(J256+J337)-(J254+J335)</f>
        <v>35127.83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195011.13</v>
      </c>
      <c r="H648" s="104">
        <f>H597</f>
        <v>195011.13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46233.3</v>
      </c>
      <c r="H650" s="104">
        <f>J597</f>
        <v>46233.3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32987.93</v>
      </c>
      <c r="H651" s="104">
        <f>K262+K344</f>
        <v>32987.93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4044.6</v>
      </c>
      <c r="H654" s="104">
        <f>K265+K346</f>
        <v>4044.6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2356835.9099999997</v>
      </c>
      <c r="G659" s="19">
        <f>(L228+L308+L358)</f>
        <v>0</v>
      </c>
      <c r="H659" s="19">
        <f>(L246+L327+L359)</f>
        <v>776655.50000000012</v>
      </c>
      <c r="I659" s="19">
        <f>SUM(F659:H659)</f>
        <v>3133491.4099999997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43920.66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43920.66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195011.13</v>
      </c>
      <c r="G661" s="19">
        <f>(L225+L305)-(J225+J305)</f>
        <v>0</v>
      </c>
      <c r="H661" s="19">
        <f>(L243+L324)-(J243+J324)</f>
        <v>46233.3</v>
      </c>
      <c r="I661" s="19">
        <f>SUM(F661:H661)</f>
        <v>241244.43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172918.72</v>
      </c>
      <c r="G662" s="199">
        <f>SUM(G574:G586)+SUM(I601:I603)+L611</f>
        <v>0</v>
      </c>
      <c r="H662" s="199">
        <f>SUM(H574:H586)+SUM(J601:J603)+L612</f>
        <v>730422.20000000007</v>
      </c>
      <c r="I662" s="19">
        <f>SUM(F662:H662)</f>
        <v>903340.92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1944985.3999999997</v>
      </c>
      <c r="G663" s="19">
        <f>G659-SUM(G660:G662)</f>
        <v>0</v>
      </c>
      <c r="H663" s="19">
        <f>H659-SUM(H660:H662)</f>
        <v>0</v>
      </c>
      <c r="I663" s="19">
        <f>I659-SUM(I660:I662)</f>
        <v>1944985.3999999997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168.98</v>
      </c>
      <c r="G664" s="248"/>
      <c r="H664" s="248"/>
      <c r="I664" s="19">
        <f>SUM(F664:H664)</f>
        <v>168.98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11510.15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11510.15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11510.15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11510.15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zoomScale="120" zoomScaleNormal="120"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Westmoreland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631198.81999999995</v>
      </c>
      <c r="C9" s="229">
        <f>'DOE25'!G196+'DOE25'!G214+'DOE25'!G232+'DOE25'!G275+'DOE25'!G294+'DOE25'!G313</f>
        <v>248396.18000000002</v>
      </c>
    </row>
    <row r="10" spans="1:3" x14ac:dyDescent="0.2">
      <c r="A10" t="s">
        <v>779</v>
      </c>
      <c r="B10" s="240">
        <v>602078.41</v>
      </c>
      <c r="C10" s="240">
        <v>236936.4</v>
      </c>
    </row>
    <row r="11" spans="1:3" x14ac:dyDescent="0.2">
      <c r="A11" t="s">
        <v>780</v>
      </c>
      <c r="B11" s="240">
        <v>29120.41</v>
      </c>
      <c r="C11" s="240">
        <v>11459.78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631198.82000000007</v>
      </c>
      <c r="C13" s="231">
        <f>SUM(C10:C12)</f>
        <v>248396.18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122958.08</v>
      </c>
      <c r="C18" s="229">
        <f>'DOE25'!G197+'DOE25'!G215+'DOE25'!G233+'DOE25'!G276+'DOE25'!G295+'DOE25'!G314</f>
        <v>49469.53</v>
      </c>
    </row>
    <row r="19" spans="1:3" x14ac:dyDescent="0.2">
      <c r="A19" t="s">
        <v>779</v>
      </c>
      <c r="B19" s="240">
        <v>59119.06</v>
      </c>
      <c r="C19" s="240">
        <v>23785.279999999999</v>
      </c>
    </row>
    <row r="20" spans="1:3" x14ac:dyDescent="0.2">
      <c r="A20" t="s">
        <v>780</v>
      </c>
      <c r="B20" s="240">
        <v>63839.02</v>
      </c>
      <c r="C20" s="240">
        <v>25684.25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122958.07999999999</v>
      </c>
      <c r="C22" s="231">
        <f>SUM(C19:C21)</f>
        <v>49469.53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10215.01</v>
      </c>
      <c r="C36" s="235">
        <f>'DOE25'!G199+'DOE25'!G217+'DOE25'!G235+'DOE25'!G278+'DOE25'!G297+'DOE25'!G316</f>
        <v>1779.3500000000001</v>
      </c>
    </row>
    <row r="37" spans="1:3" x14ac:dyDescent="0.2">
      <c r="A37" t="s">
        <v>779</v>
      </c>
      <c r="B37" s="240">
        <v>9345.01</v>
      </c>
      <c r="C37" s="240">
        <v>1627.8</v>
      </c>
    </row>
    <row r="38" spans="1:3" x14ac:dyDescent="0.2">
      <c r="A38" t="s">
        <v>780</v>
      </c>
      <c r="B38" s="240">
        <v>870</v>
      </c>
      <c r="C38" s="240">
        <v>151.55000000000001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10215.01</v>
      </c>
      <c r="C40" s="231">
        <f>SUM(C37:C39)</f>
        <v>1779.35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4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Westmoreland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1929973.7399999998</v>
      </c>
      <c r="D5" s="20">
        <f>SUM('DOE25'!L196:L199)+SUM('DOE25'!L214:L217)+SUM('DOE25'!L232:L235)-F5-G5</f>
        <v>1924421.0999999999</v>
      </c>
      <c r="E5" s="243"/>
      <c r="F5" s="255">
        <f>SUM('DOE25'!J196:J199)+SUM('DOE25'!J214:J217)+SUM('DOE25'!J232:J235)</f>
        <v>3715.64</v>
      </c>
      <c r="G5" s="53">
        <f>SUM('DOE25'!K196:K199)+SUM('DOE25'!K214:K217)+SUM('DOE25'!K232:K235)</f>
        <v>1837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130868.6</v>
      </c>
      <c r="D6" s="20">
        <f>'DOE25'!L201+'DOE25'!L219+'DOE25'!L237-F6-G6</f>
        <v>130868.6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59358.21</v>
      </c>
      <c r="D7" s="20">
        <f>'DOE25'!L202+'DOE25'!L220+'DOE25'!L238-F7-G7</f>
        <v>59358.21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128648.00000000003</v>
      </c>
      <c r="D8" s="243"/>
      <c r="E8" s="20">
        <f>'DOE25'!L203+'DOE25'!L221+'DOE25'!L239-F8-G8-D9-D11</f>
        <v>128648.00000000003</v>
      </c>
      <c r="F8" s="255">
        <f>'DOE25'!J203+'DOE25'!J221+'DOE25'!J239</f>
        <v>0</v>
      </c>
      <c r="G8" s="53">
        <f>'DOE25'!K203+'DOE25'!K221+'DOE25'!K239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3986.58</v>
      </c>
      <c r="D9" s="244">
        <f>1416.58+100+2160+120+90+100</f>
        <v>3986.58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6300</v>
      </c>
      <c r="D10" s="243"/>
      <c r="E10" s="244">
        <v>6300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51064</v>
      </c>
      <c r="D11" s="244">
        <v>51064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167909.71</v>
      </c>
      <c r="D12" s="20">
        <f>'DOE25'!L204+'DOE25'!L222+'DOE25'!L240-F12-G12</f>
        <v>167075.71</v>
      </c>
      <c r="E12" s="243"/>
      <c r="F12" s="255">
        <f>'DOE25'!J204+'DOE25'!J222+'DOE25'!J240</f>
        <v>0</v>
      </c>
      <c r="G12" s="53">
        <f>'DOE25'!K204+'DOE25'!K222+'DOE25'!K240</f>
        <v>834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220890.49000000002</v>
      </c>
      <c r="D14" s="20">
        <f>'DOE25'!L206+'DOE25'!L224+'DOE25'!L242-F14-G14</f>
        <v>213890.49000000002</v>
      </c>
      <c r="E14" s="243"/>
      <c r="F14" s="255">
        <f>'DOE25'!J206+'DOE25'!J224+'DOE25'!J242</f>
        <v>7000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241244.43</v>
      </c>
      <c r="D15" s="20">
        <f>'DOE25'!L207+'DOE25'!L225+'DOE25'!L243-F15-G15</f>
        <v>241244.43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355.01</v>
      </c>
      <c r="D16" s="243"/>
      <c r="E16" s="20">
        <f>'DOE25'!L208+'DOE25'!L226+'DOE25'!L244-F16-G16</f>
        <v>355.01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105456.25</v>
      </c>
      <c r="D25" s="243"/>
      <c r="E25" s="243"/>
      <c r="F25" s="258"/>
      <c r="G25" s="256"/>
      <c r="H25" s="257">
        <f>'DOE25'!L259+'DOE25'!L260+'DOE25'!L340+'DOE25'!L341</f>
        <v>105456.25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58495.979999999996</v>
      </c>
      <c r="D29" s="20">
        <f>'DOE25'!L357+'DOE25'!L358+'DOE25'!L359-'DOE25'!I366-F29-G29</f>
        <v>58114.67</v>
      </c>
      <c r="E29" s="243"/>
      <c r="F29" s="255">
        <f>'DOE25'!J357+'DOE25'!J358+'DOE25'!J359</f>
        <v>224.56</v>
      </c>
      <c r="G29" s="53">
        <f>'DOE25'!K357+'DOE25'!K358+'DOE25'!K359</f>
        <v>156.75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88111.970000000016</v>
      </c>
      <c r="D31" s="20">
        <f>'DOE25'!L289+'DOE25'!L308+'DOE25'!L327+'DOE25'!L332+'DOE25'!L333+'DOE25'!L334-F31-G31</f>
        <v>60678.950000000012</v>
      </c>
      <c r="E31" s="243"/>
      <c r="F31" s="255">
        <f>'DOE25'!J289+'DOE25'!J308+'DOE25'!J327+'DOE25'!J332+'DOE25'!J333+'DOE25'!J334</f>
        <v>24412.190000000002</v>
      </c>
      <c r="G31" s="53">
        <f>'DOE25'!K289+'DOE25'!K308+'DOE25'!K327+'DOE25'!K332+'DOE25'!K333+'DOE25'!K334</f>
        <v>3020.83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2910702.7400000007</v>
      </c>
      <c r="E33" s="246">
        <f>SUM(E5:E31)</f>
        <v>135303.01000000004</v>
      </c>
      <c r="F33" s="246">
        <f>SUM(F5:F31)</f>
        <v>35352.39</v>
      </c>
      <c r="G33" s="246">
        <f>SUM(G5:G31)</f>
        <v>5848.58</v>
      </c>
      <c r="H33" s="246">
        <f>SUM(H5:H31)</f>
        <v>105456.25</v>
      </c>
    </row>
    <row r="35" spans="2:8" ht="12" thickBot="1" x14ac:dyDescent="0.25">
      <c r="B35" s="253" t="s">
        <v>847</v>
      </c>
      <c r="D35" s="254">
        <f>E33</f>
        <v>135303.01000000004</v>
      </c>
      <c r="E35" s="249"/>
    </row>
    <row r="36" spans="2:8" ht="12" thickTop="1" x14ac:dyDescent="0.2">
      <c r="B36" t="s">
        <v>815</v>
      </c>
      <c r="D36" s="20">
        <f>D33</f>
        <v>2910702.7400000007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Westmoreland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31446.58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3021.05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157061.53999999998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34905.85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2249.7800000000002</v>
      </c>
      <c r="D12" s="95">
        <f>'DOE25'!G13</f>
        <v>7110.03</v>
      </c>
      <c r="E12" s="95">
        <f>'DOE25'!H13</f>
        <v>30454.85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2128.17</v>
      </c>
      <c r="D13" s="95">
        <f>'DOE25'!G14</f>
        <v>926.05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73751.430000000008</v>
      </c>
      <c r="D18" s="41">
        <f>SUM(D8:D17)</f>
        <v>8036.08</v>
      </c>
      <c r="E18" s="41">
        <f>SUM(E8:E17)</f>
        <v>30454.85</v>
      </c>
      <c r="F18" s="41">
        <f>SUM(F8:F17)</f>
        <v>0</v>
      </c>
      <c r="G18" s="41">
        <f>SUM(G8:G17)</f>
        <v>157061.53999999998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5034.37</v>
      </c>
      <c r="E21" s="95">
        <f>'DOE25'!H22</f>
        <v>29871.48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1377.2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10417.129999999999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7719.47</v>
      </c>
      <c r="D27" s="95">
        <f>'DOE25'!G28</f>
        <v>1690.35</v>
      </c>
      <c r="E27" s="95">
        <f>'DOE25'!H28</f>
        <v>583.37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1311.36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19513.8</v>
      </c>
      <c r="D31" s="41">
        <f>SUM(D21:D30)</f>
        <v>8036.079999999999</v>
      </c>
      <c r="E31" s="41">
        <f>SUM(E21:E30)</f>
        <v>30454.85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38876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11043.25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157061.53999999998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4318.38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54237.63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157061.53999999998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73751.429999999993</v>
      </c>
      <c r="D50" s="41">
        <f>D49+D31</f>
        <v>8036.079999999999</v>
      </c>
      <c r="E50" s="41">
        <f>E49+E31</f>
        <v>30454.85</v>
      </c>
      <c r="F50" s="41">
        <f>F49+F31</f>
        <v>0</v>
      </c>
      <c r="G50" s="41">
        <f>G49+G31</f>
        <v>157061.53999999998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1959848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1694.34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264.58999999999997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559.42999999999995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43920.66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34896.67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36855.599999999999</v>
      </c>
      <c r="D61" s="130">
        <f>SUM(D56:D60)</f>
        <v>43920.66</v>
      </c>
      <c r="E61" s="130">
        <f>SUM(E56:E60)</f>
        <v>0</v>
      </c>
      <c r="F61" s="130">
        <f>SUM(F56:F60)</f>
        <v>0</v>
      </c>
      <c r="G61" s="130">
        <f>SUM(G56:G60)</f>
        <v>559.42999999999995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1996703.6</v>
      </c>
      <c r="D62" s="22">
        <f>D55+D61</f>
        <v>43920.66</v>
      </c>
      <c r="E62" s="22">
        <f>E55+E61</f>
        <v>0</v>
      </c>
      <c r="F62" s="22">
        <f>F55+F61</f>
        <v>0</v>
      </c>
      <c r="G62" s="22">
        <f>G55+G61</f>
        <v>559.42999999999995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614400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433606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1048006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29730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23169.56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826.71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52899.56</v>
      </c>
      <c r="D77" s="130">
        <f>SUM(D71:D76)</f>
        <v>826.71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1100905.56</v>
      </c>
      <c r="D80" s="130">
        <f>SUM(D78:D79)+D77+D69</f>
        <v>826.71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16483.190000000002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29087.62</v>
      </c>
      <c r="D87" s="95">
        <f>SUM('DOE25'!G152:G160)</f>
        <v>33345.370000000003</v>
      </c>
      <c r="E87" s="95">
        <f>SUM('DOE25'!H152:H160)</f>
        <v>71628.78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29087.62</v>
      </c>
      <c r="D90" s="131">
        <f>SUM(D84:D89)</f>
        <v>33345.370000000003</v>
      </c>
      <c r="E90" s="131">
        <f>SUM(E84:E89)</f>
        <v>88111.97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32987.93</v>
      </c>
      <c r="E95" s="95">
        <f>'DOE25'!H178</f>
        <v>0</v>
      </c>
      <c r="F95" s="95">
        <f>'DOE25'!I178</f>
        <v>0</v>
      </c>
      <c r="G95" s="95">
        <f>'DOE25'!J178</f>
        <v>4044.6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32987.93</v>
      </c>
      <c r="E102" s="86">
        <f>SUM(E92:E101)</f>
        <v>0</v>
      </c>
      <c r="F102" s="86">
        <f>SUM(F92:F101)</f>
        <v>0</v>
      </c>
      <c r="G102" s="86">
        <f>SUM(G92:G101)</f>
        <v>4044.6</v>
      </c>
    </row>
    <row r="103" spans="1:7" ht="12.75" thickTop="1" thickBot="1" x14ac:dyDescent="0.25">
      <c r="A103" s="33" t="s">
        <v>765</v>
      </c>
      <c r="C103" s="86">
        <f>C62+C80+C90+C102</f>
        <v>3126696.7800000003</v>
      </c>
      <c r="D103" s="86">
        <f>D62+D80+D90+D102</f>
        <v>111080.67000000001</v>
      </c>
      <c r="E103" s="86">
        <f>E62+E80+E90+E102</f>
        <v>88111.97</v>
      </c>
      <c r="F103" s="86">
        <f>F62+F80+F90+F102</f>
        <v>0</v>
      </c>
      <c r="G103" s="86">
        <f>G62+G80+G102</f>
        <v>4604.03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1506394.1099999999</v>
      </c>
      <c r="D108" s="24" t="s">
        <v>289</v>
      </c>
      <c r="E108" s="95">
        <f>('DOE25'!L275)+('DOE25'!L294)+('DOE25'!L313)</f>
        <v>31070.420000000002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403227.66</v>
      </c>
      <c r="D109" s="24" t="s">
        <v>289</v>
      </c>
      <c r="E109" s="95">
        <f>('DOE25'!L276)+('DOE25'!L295)+('DOE25'!L314)</f>
        <v>23864.85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20351.97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1929973.7399999998</v>
      </c>
      <c r="D114" s="86">
        <f>SUM(D108:D113)</f>
        <v>0</v>
      </c>
      <c r="E114" s="86">
        <f>SUM(E108:E113)</f>
        <v>54935.270000000004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130868.6</v>
      </c>
      <c r="D117" s="24" t="s">
        <v>289</v>
      </c>
      <c r="E117" s="95">
        <f>+('DOE25'!L280)+('DOE25'!L299)+('DOE25'!L318)</f>
        <v>237.44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59358.21</v>
      </c>
      <c r="D118" s="24" t="s">
        <v>289</v>
      </c>
      <c r="E118" s="95">
        <f>+('DOE25'!L281)+('DOE25'!L300)+('DOE25'!L319)</f>
        <v>28860.43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183698.58000000002</v>
      </c>
      <c r="D119" s="24" t="s">
        <v>289</v>
      </c>
      <c r="E119" s="95">
        <f>+('DOE25'!L282)+('DOE25'!L301)+('DOE25'!L320)</f>
        <v>1058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167909.71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3020.83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220890.49000000002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241244.43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355.01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111080.67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1004325.03</v>
      </c>
      <c r="D127" s="86">
        <f>SUM(D117:D126)</f>
        <v>111080.67</v>
      </c>
      <c r="E127" s="86">
        <f>SUM(E117:E126)</f>
        <v>33176.699999999997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90000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15456.25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32987.93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4151.6400000000003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452.39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-559.43000000000075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142488.78000000003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3076787.55</v>
      </c>
      <c r="D144" s="86">
        <f>(D114+D127+D143)</f>
        <v>111080.67</v>
      </c>
      <c r="E144" s="86">
        <f>(E114+E127+E143)</f>
        <v>88111.97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10</v>
      </c>
      <c r="C150" s="153">
        <f>'DOE25'!G489</f>
        <v>5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08/07</v>
      </c>
      <c r="C151" s="152" t="str">
        <f>'DOE25'!G490</f>
        <v>08/10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08/17</v>
      </c>
      <c r="C152" s="152" t="str">
        <f>'DOE25'!G491</f>
        <v>08/15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440000</v>
      </c>
      <c r="C153" s="137">
        <f>'DOE25'!G492</f>
        <v>215000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4.28</v>
      </c>
      <c r="C154" s="137">
        <f>'DOE25'!G493</f>
        <v>1.99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300000</v>
      </c>
      <c r="C155" s="137">
        <f>'DOE25'!G494</f>
        <v>165000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465000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45000</v>
      </c>
      <c r="C157" s="137">
        <f>'DOE25'!G496</f>
        <v>45000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90000</v>
      </c>
    </row>
    <row r="158" spans="1:9" x14ac:dyDescent="0.2">
      <c r="A158" s="22" t="s">
        <v>35</v>
      </c>
      <c r="B158" s="137">
        <f>'DOE25'!F497</f>
        <v>210000</v>
      </c>
      <c r="C158" s="137">
        <f>'DOE25'!G497</f>
        <v>120000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330000</v>
      </c>
    </row>
    <row r="159" spans="1:9" x14ac:dyDescent="0.2">
      <c r="A159" s="22" t="s">
        <v>36</v>
      </c>
      <c r="B159" s="137">
        <f>'DOE25'!F498</f>
        <v>24825</v>
      </c>
      <c r="C159" s="137">
        <f>'DOE25'!G498</f>
        <v>6000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30825</v>
      </c>
    </row>
    <row r="160" spans="1:9" x14ac:dyDescent="0.2">
      <c r="A160" s="22" t="s">
        <v>37</v>
      </c>
      <c r="B160" s="137">
        <f>'DOE25'!F499</f>
        <v>234825</v>
      </c>
      <c r="C160" s="137">
        <f>'DOE25'!G499</f>
        <v>126000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360825</v>
      </c>
    </row>
    <row r="161" spans="1:7" x14ac:dyDescent="0.2">
      <c r="A161" s="22" t="s">
        <v>38</v>
      </c>
      <c r="B161" s="137">
        <f>'DOE25'!F500</f>
        <v>45000</v>
      </c>
      <c r="C161" s="137">
        <f>'DOE25'!G500</f>
        <v>40000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85000</v>
      </c>
    </row>
    <row r="162" spans="1:7" x14ac:dyDescent="0.2">
      <c r="A162" s="22" t="s">
        <v>39</v>
      </c>
      <c r="B162" s="137">
        <f>'DOE25'!F501</f>
        <v>8868.75</v>
      </c>
      <c r="C162" s="137">
        <f>'DOE25'!G501</f>
        <v>3400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12268.75</v>
      </c>
    </row>
    <row r="163" spans="1:7" x14ac:dyDescent="0.2">
      <c r="A163" s="22" t="s">
        <v>246</v>
      </c>
      <c r="B163" s="137">
        <f>'DOE25'!F502</f>
        <v>53868.75</v>
      </c>
      <c r="C163" s="137">
        <f>'DOE25'!G502</f>
        <v>43400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97268.75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Westmoreland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11510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11510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1537465</v>
      </c>
      <c r="D10" s="182">
        <f>ROUND((C10/$C$28)*100,1)</f>
        <v>49.5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427093</v>
      </c>
      <c r="D11" s="182">
        <f>ROUND((C11/$C$28)*100,1)</f>
        <v>13.8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20352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131106</v>
      </c>
      <c r="D15" s="182">
        <f t="shared" ref="D15:D27" si="0">ROUND((C15/$C$28)*100,1)</f>
        <v>4.2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88219</v>
      </c>
      <c r="D16" s="182">
        <f t="shared" si="0"/>
        <v>2.8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185112</v>
      </c>
      <c r="D17" s="182">
        <f t="shared" si="0"/>
        <v>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167910</v>
      </c>
      <c r="D18" s="182">
        <f t="shared" si="0"/>
        <v>5.4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3021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220890</v>
      </c>
      <c r="D20" s="182">
        <f t="shared" si="0"/>
        <v>7.1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241244</v>
      </c>
      <c r="D21" s="182">
        <f t="shared" si="0"/>
        <v>7.8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15456</v>
      </c>
      <c r="D25" s="182">
        <f t="shared" si="0"/>
        <v>0.5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67160.34</v>
      </c>
      <c r="D27" s="182">
        <f t="shared" si="0"/>
        <v>2.2000000000000002</v>
      </c>
    </row>
    <row r="28" spans="1:4" x14ac:dyDescent="0.2">
      <c r="B28" s="187" t="s">
        <v>723</v>
      </c>
      <c r="C28" s="180">
        <f>SUM(C10:C27)</f>
        <v>3105028.34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3105028.34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90000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1959848</v>
      </c>
      <c r="D35" s="182">
        <f t="shared" ref="D35:D40" si="1">ROUND((C35/$C$41)*100,1)</f>
        <v>60.3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37415.030000000028</v>
      </c>
      <c r="D36" s="182">
        <f t="shared" si="1"/>
        <v>1.2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1048006</v>
      </c>
      <c r="D37" s="182">
        <f t="shared" si="1"/>
        <v>32.299999999999997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53726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150545</v>
      </c>
      <c r="D39" s="182">
        <f t="shared" si="1"/>
        <v>4.5999999999999996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3249540.0300000003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Westmoreland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2013-06-14T12:22:24Z</cp:lastPrinted>
  <dcterms:created xsi:type="dcterms:W3CDTF">1997-12-04T19:04:30Z</dcterms:created>
  <dcterms:modified xsi:type="dcterms:W3CDTF">2013-10-04T15:40:19Z</dcterms:modified>
</cp:coreProperties>
</file>